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_xmlsignatures/sig1.xml" ContentType="application/vnd.openxmlformats-package.digital-signature-xmlsignatur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930" windowWidth="14355" windowHeight="5940"/>
  </bookViews>
  <sheets>
    <sheet name="Tong quat" sheetId="5" r:id="rId1"/>
    <sheet name="BCTaiSan_06027" sheetId="1" r:id="rId2"/>
    <sheet name="BCKetQuaHoatDong_06028" sheetId="2" r:id="rId3"/>
    <sheet name="BCDanhMucDauTu_06029" sheetId="3" r:id="rId4"/>
    <sheet name="Khac_06030" sheetId="4" r:id="rId5"/>
  </sheets>
  <externalReferences>
    <externalReference r:id="rId6"/>
    <externalReference r:id="rId7"/>
    <externalReference r:id="rId8"/>
  </externalReferences>
  <definedNames>
    <definedName name="_xlnm.Print_Area" localSheetId="3">BCDanhMucDauTu_06029!$A$1:$G$39</definedName>
    <definedName name="_xlnm.Print_Area" localSheetId="2">BCKetQuaHoatDong_06028!$A$1:$F$32</definedName>
    <definedName name="_xlnm.Print_Area" localSheetId="1">BCTaiSan_06027!$A$1:$F$29</definedName>
    <definedName name="_xlnm.Print_Area" localSheetId="4">Khac_06030!$A$1:$E$26</definedName>
    <definedName name="_xlnm.Print_Area" localSheetId="0">'Tong quat'!$A$1:$F$39</definedName>
  </definedNames>
  <calcPr calcId="124519"/>
</workbook>
</file>

<file path=xl/calcChain.xml><?xml version="1.0" encoding="utf-8"?>
<calcChain xmlns="http://schemas.openxmlformats.org/spreadsheetml/2006/main">
  <c r="L11" i="4"/>
  <c r="D9"/>
  <c r="D7"/>
  <c r="D6"/>
  <c r="D5"/>
  <c r="D4"/>
  <c r="D3"/>
  <c r="F16" i="2"/>
  <c r="F11"/>
  <c r="I10" i="4" l="1"/>
  <c r="H10"/>
  <c r="I8"/>
  <c r="I2"/>
  <c r="F35" i="3"/>
  <c r="F36"/>
  <c r="D19" i="1"/>
  <c r="F38" i="3"/>
  <c r="F19"/>
  <c r="F16"/>
  <c r="F15"/>
  <c r="F14"/>
  <c r="D8" i="2"/>
  <c r="D27" i="1"/>
  <c r="D25"/>
  <c r="D12"/>
  <c r="D11"/>
  <c r="D5"/>
  <c r="D3"/>
  <c r="D10"/>
  <c r="E28"/>
  <c r="E27"/>
  <c r="D27" i="2"/>
  <c r="D2" l="1"/>
  <c r="J29"/>
  <c r="D14"/>
  <c r="J3" l="1"/>
  <c r="F24" i="3"/>
  <c r="D19"/>
  <c r="D6"/>
  <c r="F6"/>
  <c r="D17" i="4" l="1"/>
  <c r="F12" s="1"/>
  <c r="F3" i="3" l="1"/>
  <c r="J18" i="2" l="1"/>
  <c r="J23"/>
  <c r="J22"/>
  <c r="J21"/>
  <c r="D12" s="1"/>
  <c r="J20"/>
  <c r="J19"/>
  <c r="J17"/>
  <c r="J16"/>
  <c r="J15"/>
  <c r="J14"/>
  <c r="J13"/>
  <c r="J12"/>
  <c r="J11"/>
  <c r="J10"/>
  <c r="J9"/>
  <c r="J8"/>
  <c r="J7"/>
  <c r="J4"/>
  <c r="J5"/>
  <c r="J6"/>
  <c r="J24"/>
  <c r="J25"/>
  <c r="J26"/>
  <c r="J27"/>
  <c r="J28"/>
  <c r="D6" l="1"/>
  <c r="F28"/>
  <c r="D21" i="4" l="1"/>
  <c r="D18" i="2" l="1"/>
  <c r="D22" l="1"/>
  <c r="F27" l="1"/>
  <c r="F4" i="3" l="1"/>
  <c r="D21" i="1"/>
  <c r="F21" i="3" l="1"/>
  <c r="F23" l="1"/>
  <c r="D14" i="1"/>
  <c r="D13" s="1"/>
  <c r="F15" i="2" l="1"/>
  <c r="F14" l="1"/>
  <c r="F3"/>
  <c r="F20" l="1"/>
  <c r="F19"/>
  <c r="F13"/>
  <c r="F12"/>
  <c r="F10"/>
  <c r="F9"/>
  <c r="F8"/>
  <c r="F7"/>
  <c r="F5"/>
  <c r="F4"/>
  <c r="F18" l="1"/>
  <c r="F2"/>
  <c r="F6"/>
  <c r="D17" l="1"/>
  <c r="D21" s="1"/>
  <c r="D25" s="1"/>
  <c r="F17"/>
  <c r="F21" s="1"/>
  <c r="F25" s="1"/>
  <c r="D23" l="1"/>
  <c r="D29" s="1"/>
  <c r="F23"/>
  <c r="F29" s="1"/>
  <c r="F30" i="3" l="1"/>
  <c r="F33" i="2" l="1"/>
  <c r="D20" i="4" l="1"/>
  <c r="F6" i="1" l="1"/>
  <c r="F4" l="1"/>
  <c r="F5"/>
  <c r="F13"/>
  <c r="F14"/>
  <c r="F15"/>
  <c r="F16"/>
  <c r="F17"/>
  <c r="F18"/>
  <c r="F20"/>
  <c r="F21"/>
  <c r="F22"/>
  <c r="F23"/>
  <c r="F24"/>
  <c r="F27"/>
  <c r="F25" l="1"/>
  <c r="F12"/>
  <c r="F3" l="1"/>
  <c r="D9"/>
  <c r="F11"/>
  <c r="F9" l="1"/>
  <c r="D7"/>
  <c r="D26" s="1"/>
  <c r="D8"/>
  <c r="F12" i="3"/>
  <c r="D30" i="1" l="1"/>
  <c r="F8"/>
  <c r="D33" i="2" l="1"/>
  <c r="F7" i="1"/>
  <c r="G12" i="3" l="1"/>
  <c r="G24"/>
  <c r="G16"/>
  <c r="G14"/>
  <c r="G15"/>
  <c r="G23"/>
  <c r="G21"/>
  <c r="G30"/>
  <c r="G32"/>
  <c r="G29"/>
  <c r="G4"/>
  <c r="G3"/>
  <c r="G36"/>
  <c r="G28"/>
  <c r="G27"/>
  <c r="G26"/>
  <c r="G35"/>
  <c r="G6"/>
  <c r="F19" i="1"/>
  <c r="F26" l="1"/>
  <c r="D28"/>
  <c r="F28" l="1"/>
  <c r="D26" i="4"/>
  <c r="D8" l="1"/>
</calcChain>
</file>

<file path=xl/sharedStrings.xml><?xml version="1.0" encoding="utf-8"?>
<sst xmlns="http://schemas.openxmlformats.org/spreadsheetml/2006/main" count="386" uniqueCount="296">
  <si>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</si>
  <si>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</si>
  <si>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</si>
  <si>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</si>
  <si>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</si>
  <si>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</si>
  <si>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</si>
  <si>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</si>
  <si>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</si>
  <si>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</si>
  <si>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</si>
  <si>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</si>
  <si>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</si>
  <si>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</si>
  <si>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</si>
  <si>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</si>
  <si>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</si>
  <si>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</si>
  <si>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</si>
  <si>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</si>
  <si>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</si>
  <si>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</si>
  <si>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</si>
  <si>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</si>
  <si>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</si>
  <si>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</si>
  <si>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</si>
  <si>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</si>
  <si>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</si>
  <si>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</si>
  <si>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</si>
  <si>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</si>
  <si>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</si>
  <si>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</si>
  <si>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</si>
  <si>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</si>
  <si>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</si>
  <si>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</si>
  <si>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</si>
  <si>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</si>
  <si>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</si>
  <si>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</si>
  <si>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</si>
  <si>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</si>
  <si>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</si>
  <si>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</si>
  <si>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</si>
  <si>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</si>
  <si>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</si>
  <si>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</si>
  <si>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</si>
  <si>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</si>
  <si>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</si>
  <si>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</si>
  <si>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</si>
  <si>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</si>
  <si>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</si>
  <si>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</si>
  <si>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</si>
  <si>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Tiền mặt</t>
  </si>
  <si>
    <t>Chứng chỉ tiền gửi</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</si>
  <si>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</si>
  <si>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</si>
  <si>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</si>
  <si>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</si>
  <si>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</si>
  <si>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</si>
  <si>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</si>
  <si>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</si>
  <si>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</si>
  <si>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</si>
  <si>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</si>
  <si>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</si>
  <si>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</si>
  <si>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</si>
  <si>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</si>
  <si>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</si>
  <si>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</si>
  <si>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</si>
  <si>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</si>
  <si>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</si>
  <si>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</si>
  <si>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</si>
  <si>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</si>
  <si>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</si>
  <si>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</si>
  <si>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</si>
  <si>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</si>
  <si>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</si>
  <si>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</si>
  <si>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</si>
  <si>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</si>
  <si>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</si>
  <si>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</si>
  <si>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</si>
  <si>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</si>
  <si>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</si>
  <si>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</si>
  <si>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</si>
  <si>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</si>
  <si>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</si>
  <si>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</si>
  <si>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</si>
  <si>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</si>
  <si>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</si>
  <si>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</si>
  <si>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</si>
  <si>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</si>
  <si>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</si>
  <si>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</si>
  <si>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</si>
  <si>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</si>
  <si>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</si>
  <si>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</si>
  <si>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</si>
  <si>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</si>
  <si>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</si>
  <si>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</si>
  <si>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</si>
  <si>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%/cùng kỳ năm trước</t>
  </si>
  <si>
    <t>Lũy kế từ đầu năm</t>
  </si>
  <si>
    <t>Loại tài sản</t>
  </si>
  <si>
    <t>Giá thị trường hoặc giá trị hợp lý tại ngày báo cáo</t>
  </si>
  <si>
    <t>Tổng giá trị</t>
  </si>
  <si>
    <t>I</t>
  </si>
  <si>
    <t xml:space="preserve">II </t>
  </si>
  <si>
    <t xml:space="preserve">1 </t>
  </si>
  <si>
    <t xml:space="preserve">2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</si>
  <si>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</si>
  <si>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</si>
  <si>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</si>
  <si>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</si>
  <si>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</si>
  <si>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</si>
  <si>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</si>
  <si>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</si>
  <si>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</si>
  <si>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</si>
  <si>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</si>
  <si>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</si>
  <si>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</si>
  <si>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</si>
  <si>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</si>
  <si>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</si>
  <si>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</si>
  <si>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</si>
  <si>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</si>
  <si>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</si>
  <si>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</si>
  <si>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</si>
  <si>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</si>
  <si>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</si>
  <si>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</si>
  <si>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</si>
  <si>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</si>
  <si>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</si>
  <si>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</si>
  <si>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</si>
  <si>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</si>
  <si>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</si>
  <si>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</si>
  <si>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</si>
  <si>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</si>
  <si>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</si>
  <si>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</si>
  <si>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</si>
  <si>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</si>
  <si>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</si>
  <si>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</si>
  <si>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</si>
  <si>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</si>
  <si>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</si>
  <si>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</si>
  <si>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</si>
  <si>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</si>
  <si>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</si>
  <si>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</si>
  <si>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</si>
  <si>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</si>
  <si>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</si>
  <si>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</si>
  <si>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</si>
  <si>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r>
      <t xml:space="preserve">Các loại phí khác </t>
    </r>
    <r>
      <rPr>
        <i/>
        <sz val="8"/>
        <rFont val="Tahoma"/>
        <family val="2"/>
      </rPr>
      <t>(nêu chi tiết)</t>
    </r>
  </si>
  <si>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</si>
  <si>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</si>
  <si>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</si>
  <si>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</si>
  <si>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</si>
  <si>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</si>
  <si>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</si>
  <si>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</si>
  <si>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</si>
  <si>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</si>
  <si>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</si>
  <si>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</si>
  <si>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</si>
  <si>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</si>
  <si>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</si>
  <si>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</si>
  <si>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</si>
  <si>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</si>
  <si>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</si>
  <si>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</si>
  <si>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</si>
  <si>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</si>
  <si>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</si>
  <si>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</si>
  <si>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</si>
  <si>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</si>
  <si>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</si>
  <si>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</si>
  <si>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</si>
  <si>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</si>
  <si>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</si>
  <si>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2232.2</t>
  </si>
  <si>
    <t xml:space="preserve">   …</t>
  </si>
  <si>
    <t>…</t>
  </si>
  <si>
    <t>3</t>
  </si>
  <si>
    <t>Tiền mặt bao gồm tiền gửi không kỳ hạn và tiền gửi có kỳ hạn không quá 3 tháng</t>
  </si>
  <si>
    <t>Lãi trái phiếu được nhận</t>
  </si>
  <si>
    <t>Lãi tiền gửi được nhận</t>
  </si>
  <si>
    <t>Cổ phiếu</t>
  </si>
  <si>
    <t>Phí ngân hàng</t>
  </si>
  <si>
    <t>average NAV</t>
  </si>
  <si>
    <t>PUR</t>
  </si>
  <si>
    <t>SALE</t>
  </si>
  <si>
    <t>1. Tên Công ty quản lý quỹ: Công ty TNHH Quản lý Quỹ Bảo Việt</t>
  </si>
  <si>
    <t>Phải thu bán chứng khoán</t>
  </si>
  <si>
    <t>Cổ tức được nhận</t>
  </si>
  <si>
    <t>2239.1</t>
  </si>
  <si>
    <t xml:space="preserve">Thay đổi giá trị tài sản ròng do việc phân phối thu nhập cho các nhà đầu tư trong kỳ </t>
  </si>
  <si>
    <t>2239.2</t>
  </si>
  <si>
    <t>Thay đổi giá trị tài sản ròng do phát hành thêm Chứng chỉ Quỹ</t>
  </si>
  <si>
    <t>2239.3</t>
  </si>
  <si>
    <t>Thay đổi giá trị tài sản ròng do mua lại Chứng chỉ Quỹ</t>
  </si>
  <si>
    <t>2239.4</t>
  </si>
  <si>
    <t>Tốc độ vòng quay danh mục trong kỳ (%) = (Tổng giá trị danh mục mua vào + tổng giá trị danh mục bán ra)/(2 x Giá trị tài sản ròng trung bình trong kỳ)</t>
  </si>
  <si>
    <t>Phải thanh toán mua cổ phiếu</t>
  </si>
  <si>
    <t>Người đại diện có thẩm quyền của CTQLQ</t>
  </si>
  <si>
    <t>2205.3</t>
  </si>
  <si>
    <t>Ledger group description/Securities type group description</t>
  </si>
  <si>
    <t>Balance in base</t>
  </si>
  <si>
    <t>DIVIDEND RECEIVED</t>
  </si>
  <si>
    <t>NOT ABS</t>
  </si>
  <si>
    <t>SUBSCRIPTION</t>
  </si>
  <si>
    <t>SUBSCRIPTION/REDEMPTION</t>
  </si>
  <si>
    <t>BANK INTEREST RECEIVED</t>
  </si>
  <si>
    <t>SUBSCRIPTION - INVEST G/L</t>
  </si>
  <si>
    <t>REDEMPTION</t>
  </si>
  <si>
    <t>REDEMPTION - INVEST G/L</t>
  </si>
  <si>
    <t>MANAGEMENT FEES EXPENSE</t>
  </si>
  <si>
    <t>TRUST FUND - CAPITAL</t>
  </si>
  <si>
    <t>EQUITY</t>
  </si>
  <si>
    <t>CUSTODIAN FEE EXPENSES</t>
  </si>
  <si>
    <t>TRUST FUND-CAPITAL INVEST G/L</t>
  </si>
  <si>
    <t>DEPOSITORY FEES EXPENSE</t>
  </si>
  <si>
    <t>ACC UNREALIZED INVT GAIN/LOSS</t>
  </si>
  <si>
    <t>ACCUMULATED INVT GAIN/LOSS</t>
  </si>
  <si>
    <t>FS TRANSACTION FEES</t>
  </si>
  <si>
    <t>ACC REALISED INVEST GAIN/LOSS</t>
  </si>
  <si>
    <t>VAT - SUPERVISING FEE</t>
  </si>
  <si>
    <t>UNREAL G/L - COMMON STOCK</t>
  </si>
  <si>
    <t>UNREALISED G/L -PRICE</t>
  </si>
  <si>
    <t>SUPERVISING FEES</t>
  </si>
  <si>
    <t>REAL G/L - COMMON STOCK</t>
  </si>
  <si>
    <t>REALISED G/L - PRICE</t>
  </si>
  <si>
    <t>FUND ADMIN FEE EXPENSES</t>
  </si>
  <si>
    <t>ACCUMULATED INC.</t>
  </si>
  <si>
    <t>DISTRIBUTABLE RESERVES</t>
  </si>
  <si>
    <t>VAT_FUND ADMIN FEE EXPENSE</t>
  </si>
  <si>
    <t>INVESTMENT INCOME RECEIVED</t>
  </si>
  <si>
    <t>VAT_ANNUAL RETAIN FEE EXPENSE</t>
  </si>
  <si>
    <t>OTHER TRANS AGENCY FEE EXPENSE</t>
  </si>
  <si>
    <t>EXPENSES</t>
  </si>
  <si>
    <t>ANNUAL RETAINER FEE EXPENSE</t>
  </si>
  <si>
    <t>AUDIT FEE EXPENSES</t>
  </si>
  <si>
    <t>SALARY EXPENSES</t>
  </si>
  <si>
    <t>GENERAL MEETING EXPENSES</t>
  </si>
  <si>
    <t>BROKERAGE FEES</t>
  </si>
  <si>
    <t>BANK CHARGES</t>
  </si>
  <si>
    <t>DEPOSIT INTEREST RECEIVED</t>
  </si>
  <si>
    <t>INCOME RECEIVED</t>
  </si>
  <si>
    <t>INT RECEIVED - TIME DEPOSIT</t>
  </si>
  <si>
    <t>OTHER REVENUE</t>
  </si>
  <si>
    <t>COMMISSION REPORT FEE TO TA</t>
  </si>
  <si>
    <t>3. Tên Quỹ: Quỹ đầu tư trái phiếu Bảo Việt</t>
  </si>
  <si>
    <t>2. Tên Ngân hàng giám sát: Ngân Hàng TMCP đầu tư và phát triển Việt Nam - Chi nhánh Hà Thành</t>
  </si>
  <si>
    <t>VIC11504</t>
  </si>
  <si>
    <t>BID10306</t>
  </si>
  <si>
    <t>Tiền gửi có kỳ hạn</t>
  </si>
  <si>
    <t>Trái tức được nhận</t>
  </si>
  <si>
    <t>Phí Repo phân bổ</t>
  </si>
  <si>
    <t>TD1631461 (*)</t>
  </si>
  <si>
    <t>Giá Trái phiếu trên báo cáo là giá clean</t>
  </si>
  <si>
    <t>Ghi chú: (*) Trái phiếu đang thực hiện Repo với TCB</t>
  </si>
  <si>
    <t>4. Ngày lập báo cáo: 02/06/2016</t>
  </si>
</sst>
</file>

<file path=xl/styles.xml><?xml version="1.0" encoding="utf-8"?>
<styleSheet xmlns="http://schemas.openxmlformats.org/spreadsheetml/2006/main">
  <numFmts count="8">
    <numFmt numFmtId="164" formatCode="_(* #,##0_);_(* \(#,##0\);_(* &quot;-&quot;_);_(@_)"/>
    <numFmt numFmtId="165" formatCode="_(* #,##0.00_);_(* \(#,##0.00\);_(* &quot;-&quot;??_);_(@_)"/>
    <numFmt numFmtId="166" formatCode="_-* #,##0_-;\-* #,##0_-;_-* &quot;-&quot;_-;_-@_-"/>
    <numFmt numFmtId="167" formatCode="_-* #,##0.00_-;\-* #,##0.00_-;_-* &quot;-&quot;??_-;_-@_-"/>
    <numFmt numFmtId="168" formatCode="_(* #,##0_);_(* \(#,##0\);_(* &quot;-&quot;??_);_(@_)"/>
    <numFmt numFmtId="169" formatCode="_(* #,##0.00_);_(* \(#,##0.00\);_(* &quot;-&quot;_);_(@_)"/>
    <numFmt numFmtId="170" formatCode="_(* #,##0.0000_);_(* \(#,##0.0000\);_(* &quot;-&quot;??_);_(@_)"/>
    <numFmt numFmtId="171" formatCode="_-* #,##0_-;\-* #,##0_-;_-* &quot;-&quot;??_-;_-@_-"/>
  </numFmts>
  <fonts count="18">
    <font>
      <sz val="11"/>
      <color theme="1"/>
      <name val="Calibri"/>
      <family val="2"/>
      <scheme val="minor"/>
    </font>
    <font>
      <sz val="11"/>
      <color theme="1"/>
      <name val="Calibri"/>
      <family val="2"/>
      <scheme val="minor"/>
    </font>
    <font>
      <sz val="10"/>
      <name val="Arial"/>
      <family val="2"/>
    </font>
    <font>
      <b/>
      <sz val="8"/>
      <name val="Tahoma"/>
      <family val="2"/>
    </font>
    <font>
      <sz val="8"/>
      <name val="Tahoma"/>
      <family val="2"/>
    </font>
    <font>
      <u/>
      <sz val="11"/>
      <color theme="10"/>
      <name val="Calibri"/>
      <family val="2"/>
      <scheme val="minor"/>
    </font>
    <font>
      <i/>
      <sz val="8"/>
      <name val="Tahoma"/>
      <family val="2"/>
    </font>
    <font>
      <sz val="11"/>
      <name val="Calibri"/>
      <family val="2"/>
      <scheme val="minor"/>
    </font>
    <font>
      <b/>
      <sz val="11"/>
      <name val="Calibri"/>
      <family val="2"/>
      <scheme val="minor"/>
    </font>
    <font>
      <sz val="11"/>
      <name val="Times New Roman"/>
      <family val="1"/>
    </font>
    <font>
      <b/>
      <sz val="14"/>
      <name val="Times New Roman"/>
      <family val="1"/>
    </font>
    <font>
      <b/>
      <sz val="11"/>
      <name val="Times New Roman"/>
      <family val="1"/>
    </font>
    <font>
      <u/>
      <sz val="11"/>
      <name val="Calibri"/>
      <family val="2"/>
      <scheme val="minor"/>
    </font>
    <font>
      <u/>
      <sz val="11"/>
      <name val="Times New Roman"/>
      <family val="1"/>
    </font>
    <font>
      <i/>
      <sz val="10"/>
      <name val="Arial"/>
      <family val="2"/>
    </font>
    <font>
      <i/>
      <sz val="11"/>
      <name val="Times New Roman"/>
      <family val="1"/>
    </font>
    <font>
      <sz val="8"/>
      <color rgb="FFFF0000"/>
      <name val="Tahoma"/>
      <family val="2"/>
    </font>
    <font>
      <b/>
      <sz val="8"/>
      <color rgb="FFFF0000"/>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7" fontId="1" fillId="0" borderId="0" applyFont="0" applyFill="0" applyBorder="0" applyAlignment="0" applyProtection="0"/>
    <xf numFmtId="0" fontId="2" fillId="0" borderId="0"/>
    <xf numFmtId="0" fontId="5" fillId="0" borderId="0" applyNumberFormat="0" applyFill="0" applyBorder="0" applyAlignment="0" applyProtection="0"/>
    <xf numFmtId="9" fontId="1" fillId="0" borderId="0" applyFont="0" applyFill="0" applyBorder="0" applyAlignment="0" applyProtection="0"/>
  </cellStyleXfs>
  <cellXfs count="138">
    <xf numFmtId="0" fontId="0" fillId="0" borderId="0" xfId="0"/>
    <xf numFmtId="49" fontId="4" fillId="0" borderId="1"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49" fontId="4" fillId="0" borderId="1" xfId="2" applyNumberFormat="1" applyFont="1" applyFill="1" applyBorder="1" applyAlignment="1" applyProtection="1">
      <alignment horizontal="left" vertical="center" wrapText="1"/>
    </xf>
    <xf numFmtId="168" fontId="4" fillId="0" borderId="1" xfId="1"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xf>
    <xf numFmtId="49" fontId="4" fillId="0" borderId="3" xfId="2" applyNumberFormat="1" applyFont="1" applyFill="1" applyBorder="1" applyAlignment="1" applyProtection="1">
      <alignment horizontal="left" vertical="center" wrapText="1" indent="1"/>
    </xf>
    <xf numFmtId="49" fontId="4" fillId="0" borderId="3" xfId="0" applyNumberFormat="1" applyFont="1" applyFill="1" applyBorder="1" applyAlignment="1" applyProtection="1">
      <alignment horizontal="left" vertical="center" wrapText="1"/>
    </xf>
    <xf numFmtId="166" fontId="4" fillId="0" borderId="2" xfId="0" applyNumberFormat="1" applyFont="1" applyFill="1" applyBorder="1" applyAlignment="1" applyProtection="1">
      <alignment horizontal="left" vertical="center" wrapText="1"/>
    </xf>
    <xf numFmtId="168" fontId="4" fillId="0" borderId="2" xfId="1" applyNumberFormat="1" applyFont="1" applyBorder="1"/>
    <xf numFmtId="10" fontId="4" fillId="0" borderId="2" xfId="0" applyNumberFormat="1" applyFont="1" applyFill="1" applyBorder="1" applyAlignment="1" applyProtection="1">
      <alignment horizontal="left" vertical="center" wrapText="1"/>
    </xf>
    <xf numFmtId="10" fontId="4" fillId="0" borderId="2" xfId="1" applyNumberFormat="1" applyFont="1" applyBorder="1"/>
    <xf numFmtId="0" fontId="3" fillId="3" borderId="1" xfId="2" applyNumberFormat="1" applyFont="1" applyFill="1" applyBorder="1" applyAlignment="1" applyProtection="1">
      <alignment horizontal="left" vertical="center" wrapText="1"/>
    </xf>
    <xf numFmtId="0" fontId="7" fillId="0" borderId="0" xfId="0" applyFont="1"/>
    <xf numFmtId="10" fontId="7" fillId="0" borderId="0" xfId="0" applyNumberFormat="1" applyFont="1"/>
    <xf numFmtId="166" fontId="3" fillId="0" borderId="2" xfId="0" applyNumberFormat="1" applyFont="1" applyFill="1" applyBorder="1" applyAlignment="1" applyProtection="1">
      <alignment horizontal="left" vertical="center" wrapText="1"/>
    </xf>
    <xf numFmtId="4" fontId="7" fillId="0" borderId="0" xfId="0" applyNumberFormat="1" applyFont="1"/>
    <xf numFmtId="0" fontId="3" fillId="0" borderId="1" xfId="0" applyNumberFormat="1" applyFont="1" applyFill="1" applyBorder="1" applyAlignment="1" applyProtection="1">
      <alignment horizontal="left" vertical="center" wrapText="1"/>
    </xf>
    <xf numFmtId="168" fontId="3" fillId="0" borderId="2" xfId="1" applyNumberFormat="1" applyFont="1" applyBorder="1"/>
    <xf numFmtId="10" fontId="3" fillId="0" borderId="2" xfId="1" applyNumberFormat="1" applyFont="1" applyBorder="1"/>
    <xf numFmtId="10" fontId="8" fillId="0" borderId="0" xfId="0" applyNumberFormat="1" applyFont="1"/>
    <xf numFmtId="0" fontId="8" fillId="0" borderId="0" xfId="0" applyFont="1"/>
    <xf numFmtId="167" fontId="3" fillId="0" borderId="2" xfId="1" applyNumberFormat="1" applyFont="1" applyBorder="1"/>
    <xf numFmtId="49" fontId="3" fillId="0" borderId="1" xfId="2" applyNumberFormat="1" applyFont="1" applyFill="1" applyBorder="1" applyAlignment="1" applyProtection="1">
      <alignment horizontal="left" vertical="center" wrapText="1"/>
    </xf>
    <xf numFmtId="0" fontId="4" fillId="0" borderId="2" xfId="0" applyFont="1" applyBorder="1" applyAlignment="1">
      <alignment horizontal="center"/>
    </xf>
    <xf numFmtId="168" fontId="8" fillId="0" borderId="0" xfId="1" applyNumberFormat="1" applyFont="1"/>
    <xf numFmtId="0" fontId="3" fillId="3" borderId="3"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168" fontId="3" fillId="3" borderId="1" xfId="1" applyNumberFormat="1" applyFont="1" applyFill="1" applyBorder="1" applyAlignment="1" applyProtection="1">
      <alignment horizontal="left" vertical="center" wrapText="1"/>
    </xf>
    <xf numFmtId="170" fontId="7" fillId="0" borderId="0" xfId="1" applyNumberFormat="1" applyFont="1"/>
    <xf numFmtId="168" fontId="7" fillId="0" borderId="0" xfId="1" applyNumberFormat="1" applyFont="1"/>
    <xf numFmtId="0" fontId="3" fillId="3" borderId="2" xfId="2"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1" fontId="7" fillId="0" borderId="0" xfId="0" applyNumberFormat="1" applyFont="1"/>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0" xfId="0" applyNumberFormat="1" applyFont="1" applyFill="1" applyBorder="1" applyAlignment="1" applyProtection="1">
      <alignment horizontal="center" vertical="center" wrapText="1"/>
    </xf>
    <xf numFmtId="16" fontId="7" fillId="0" borderId="0" xfId="0" applyNumberFormat="1" applyFont="1"/>
    <xf numFmtId="0" fontId="9" fillId="4" borderId="0" xfId="0" applyFont="1" applyFill="1"/>
    <xf numFmtId="0" fontId="10" fillId="4" borderId="0" xfId="0" applyFont="1" applyFill="1"/>
    <xf numFmtId="0" fontId="9" fillId="4" borderId="0" xfId="0" applyFont="1" applyFill="1" applyAlignment="1">
      <alignment horizontal="right"/>
    </xf>
    <xf numFmtId="0" fontId="9" fillId="4" borderId="2" xfId="0" applyFont="1" applyFill="1" applyBorder="1" applyAlignment="1" applyProtection="1">
      <alignment horizontal="left"/>
      <protection locked="0"/>
    </xf>
    <xf numFmtId="0" fontId="9" fillId="4" borderId="2" xfId="0" applyFont="1" applyFill="1" applyBorder="1" applyAlignment="1">
      <alignment horizontal="left"/>
    </xf>
    <xf numFmtId="0" fontId="9" fillId="4" borderId="0" xfId="0" applyFont="1" applyFill="1" applyAlignment="1">
      <alignment vertical="top" wrapText="1"/>
    </xf>
    <xf numFmtId="0" fontId="11" fillId="4" borderId="2" xfId="0" applyFont="1" applyFill="1" applyBorder="1" applyAlignment="1">
      <alignment horizontal="center"/>
    </xf>
    <xf numFmtId="0" fontId="11" fillId="4" borderId="2" xfId="0" applyFont="1" applyFill="1" applyBorder="1"/>
    <xf numFmtId="0" fontId="9" fillId="4" borderId="2" xfId="0" applyFont="1" applyFill="1" applyBorder="1" applyAlignment="1">
      <alignment horizontal="center"/>
    </xf>
    <xf numFmtId="0" fontId="9" fillId="4" borderId="2" xfId="0" applyFont="1" applyFill="1" applyBorder="1" applyAlignment="1">
      <alignment wrapText="1"/>
    </xf>
    <xf numFmtId="0" fontId="12" fillId="4" borderId="2" xfId="3" applyFont="1" applyFill="1" applyBorder="1"/>
    <xf numFmtId="0" fontId="13" fillId="4" borderId="0" xfId="0" applyFont="1" applyFill="1"/>
    <xf numFmtId="0" fontId="14" fillId="4" borderId="0" xfId="0" applyFont="1" applyFill="1" applyAlignment="1">
      <alignment vertical="center"/>
    </xf>
    <xf numFmtId="0" fontId="9" fillId="4" borderId="0" xfId="0" applyFont="1" applyFill="1" applyAlignment="1"/>
    <xf numFmtId="0" fontId="11" fillId="4" borderId="0" xfId="0" applyFont="1" applyFill="1" applyAlignment="1">
      <alignment horizontal="center" wrapText="1"/>
    </xf>
    <xf numFmtId="0" fontId="15" fillId="4" borderId="0" xfId="0" applyFont="1" applyFill="1" applyAlignment="1">
      <alignment horizontal="center"/>
    </xf>
    <xf numFmtId="0" fontId="9" fillId="4" borderId="0" xfId="0" applyFont="1" applyFill="1" applyAlignment="1">
      <alignment horizontal="center"/>
    </xf>
    <xf numFmtId="10" fontId="4" fillId="0" borderId="1" xfId="1" applyNumberFormat="1" applyFont="1" applyFill="1" applyBorder="1" applyAlignment="1" applyProtection="1">
      <alignment horizontal="right" vertical="center" wrapText="1"/>
    </xf>
    <xf numFmtId="10" fontId="4" fillId="0" borderId="1" xfId="4" applyNumberFormat="1" applyFont="1" applyFill="1" applyBorder="1" applyAlignment="1" applyProtection="1">
      <alignment horizontal="right" vertical="center" wrapText="1"/>
    </xf>
    <xf numFmtId="167" fontId="4" fillId="0" borderId="1" xfId="1"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right" vertical="center" wrapText="1"/>
    </xf>
    <xf numFmtId="169" fontId="4" fillId="0" borderId="2" xfId="0" applyNumberFormat="1" applyFont="1" applyFill="1" applyBorder="1" applyAlignment="1" applyProtection="1">
      <alignment horizontal="left" vertical="center" wrapText="1"/>
    </xf>
    <xf numFmtId="166" fontId="7" fillId="0" borderId="0" xfId="0" applyNumberFormat="1" applyFont="1"/>
    <xf numFmtId="167" fontId="7" fillId="0" borderId="0" xfId="1" applyFont="1"/>
    <xf numFmtId="165" fontId="4" fillId="0" borderId="1" xfId="1" applyNumberFormat="1" applyFont="1" applyFill="1" applyBorder="1" applyAlignment="1" applyProtection="1">
      <alignment horizontal="left" vertical="center" wrapText="1"/>
    </xf>
    <xf numFmtId="0" fontId="7" fillId="0" borderId="0" xfId="0" applyFont="1" applyAlignment="1">
      <alignment vertical="center"/>
    </xf>
    <xf numFmtId="0" fontId="4" fillId="0" borderId="2" xfId="0" applyFont="1" applyBorder="1" applyAlignment="1">
      <alignment horizontal="center" vertical="center"/>
    </xf>
    <xf numFmtId="168" fontId="7" fillId="0" borderId="0" xfId="1" applyNumberFormat="1" applyFont="1" applyAlignment="1">
      <alignment vertical="center"/>
    </xf>
    <xf numFmtId="0" fontId="7" fillId="0" borderId="0" xfId="0" applyFont="1" applyAlignment="1">
      <alignment horizontal="left" vertical="center"/>
    </xf>
    <xf numFmtId="0" fontId="3" fillId="0" borderId="2" xfId="0" applyFont="1" applyBorder="1" applyAlignment="1">
      <alignment horizontal="center" vertical="center"/>
    </xf>
    <xf numFmtId="0" fontId="8" fillId="0" borderId="0" xfId="0" applyFont="1" applyAlignment="1">
      <alignment vertical="center"/>
    </xf>
    <xf numFmtId="168" fontId="7" fillId="0" borderId="0" xfId="0" applyNumberFormat="1" applyFont="1"/>
    <xf numFmtId="37" fontId="4" fillId="0" borderId="2" xfId="1" applyNumberFormat="1" applyFont="1" applyFill="1" applyBorder="1" applyAlignment="1" applyProtection="1">
      <alignment horizontal="right" vertical="center" wrapText="1"/>
    </xf>
    <xf numFmtId="171" fontId="4" fillId="0" borderId="1" xfId="1" applyNumberFormat="1" applyFont="1" applyFill="1" applyBorder="1" applyAlignment="1" applyProtection="1">
      <alignment horizontal="right" vertical="center" wrapText="1"/>
    </xf>
    <xf numFmtId="171" fontId="4" fillId="0" borderId="2" xfId="1" applyNumberFormat="1" applyFont="1" applyFill="1" applyBorder="1" applyAlignment="1" applyProtection="1">
      <alignment horizontal="left" vertical="center" wrapText="1"/>
    </xf>
    <xf numFmtId="168" fontId="7" fillId="0" borderId="0" xfId="0" applyNumberFormat="1" applyFont="1" applyAlignment="1">
      <alignment vertical="center"/>
    </xf>
    <xf numFmtId="4" fontId="0" fillId="0" borderId="0" xfId="0" applyNumberFormat="1"/>
    <xf numFmtId="168" fontId="3" fillId="0" borderId="1" xfId="1" applyNumberFormat="1" applyFont="1" applyFill="1" applyBorder="1" applyAlignment="1" applyProtection="1">
      <alignment horizontal="left" vertical="center" wrapText="1"/>
    </xf>
    <xf numFmtId="166" fontId="3" fillId="0" borderId="2" xfId="0" applyNumberFormat="1" applyFont="1" applyFill="1" applyBorder="1" applyAlignment="1" applyProtection="1">
      <alignment horizontal="center" vertical="center" wrapText="1"/>
    </xf>
    <xf numFmtId="166" fontId="4" fillId="0" borderId="2" xfId="0" applyNumberFormat="1" applyFont="1" applyFill="1" applyBorder="1" applyAlignment="1" applyProtection="1">
      <alignment horizontal="center" vertical="center" wrapText="1"/>
    </xf>
    <xf numFmtId="168" fontId="7" fillId="0" borderId="0" xfId="1" applyNumberFormat="1" applyFont="1" applyFill="1"/>
    <xf numFmtId="0" fontId="7" fillId="4" borderId="0" xfId="0" applyFont="1" applyFill="1"/>
    <xf numFmtId="49" fontId="4" fillId="0" borderId="0" xfId="2" applyNumberFormat="1" applyFont="1" applyFill="1" applyBorder="1" applyAlignment="1" applyProtection="1">
      <alignment vertical="center" wrapText="1"/>
    </xf>
    <xf numFmtId="167" fontId="8" fillId="0" borderId="0" xfId="1" applyFont="1"/>
    <xf numFmtId="168" fontId="3" fillId="4" borderId="1" xfId="1" applyNumberFormat="1" applyFont="1" applyFill="1" applyBorder="1" applyAlignment="1" applyProtection="1">
      <alignment horizontal="left" vertical="center" wrapText="1"/>
    </xf>
    <xf numFmtId="168" fontId="7" fillId="4" borderId="0" xfId="1" applyNumberFormat="1" applyFont="1" applyFill="1"/>
    <xf numFmtId="10" fontId="4" fillId="4" borderId="1" xfId="4" applyNumberFormat="1" applyFont="1" applyFill="1" applyBorder="1" applyAlignment="1" applyProtection="1">
      <alignment horizontal="left" vertical="center" wrapText="1"/>
    </xf>
    <xf numFmtId="10" fontId="4" fillId="4" borderId="2" xfId="4" applyNumberFormat="1" applyFont="1" applyFill="1" applyBorder="1" applyAlignment="1" applyProtection="1">
      <alignment horizontal="right" vertical="center" wrapText="1"/>
    </xf>
    <xf numFmtId="10" fontId="3" fillId="4" borderId="2" xfId="4" applyNumberFormat="1" applyFont="1" applyFill="1" applyBorder="1" applyAlignment="1" applyProtection="1">
      <alignment horizontal="right" vertical="center" wrapText="1"/>
    </xf>
    <xf numFmtId="10" fontId="7" fillId="4" borderId="0" xfId="4" applyNumberFormat="1" applyFont="1" applyFill="1" applyAlignment="1">
      <alignment vertical="center"/>
    </xf>
    <xf numFmtId="49" fontId="4" fillId="4" borderId="0" xfId="2" applyNumberFormat="1" applyFont="1" applyFill="1" applyBorder="1" applyAlignment="1" applyProtection="1">
      <alignment vertical="center" wrapText="1"/>
    </xf>
    <xf numFmtId="166" fontId="7" fillId="0" borderId="0" xfId="0" applyNumberFormat="1" applyFont="1" applyAlignment="1">
      <alignment vertical="center"/>
    </xf>
    <xf numFmtId="168" fontId="4" fillId="4" borderId="1" xfId="1" applyNumberFormat="1" applyFont="1" applyFill="1" applyBorder="1" applyAlignment="1" applyProtection="1">
      <alignment horizontal="left" vertical="center" wrapText="1"/>
    </xf>
    <xf numFmtId="167" fontId="4" fillId="4" borderId="1" xfId="1" applyNumberFormat="1" applyFont="1" applyFill="1" applyBorder="1" applyAlignment="1" applyProtection="1">
      <alignment horizontal="left" vertical="center" wrapText="1"/>
    </xf>
    <xf numFmtId="10" fontId="4" fillId="4" borderId="1" xfId="1" applyNumberFormat="1" applyFont="1" applyFill="1" applyBorder="1" applyAlignment="1" applyProtection="1">
      <alignment horizontal="right" vertical="center" wrapText="1"/>
    </xf>
    <xf numFmtId="0" fontId="4" fillId="4" borderId="1" xfId="0" applyNumberFormat="1" applyFont="1" applyFill="1" applyBorder="1" applyAlignment="1" applyProtection="1">
      <alignment horizontal="right" vertical="center" wrapText="1"/>
    </xf>
    <xf numFmtId="166" fontId="4" fillId="4" borderId="1"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readingOrder="1"/>
    </xf>
    <xf numFmtId="166" fontId="4" fillId="4" borderId="2" xfId="0" applyNumberFormat="1" applyFont="1" applyFill="1" applyBorder="1" applyAlignment="1" applyProtection="1">
      <alignment horizontal="left" vertical="center" wrapText="1"/>
    </xf>
    <xf numFmtId="166" fontId="3" fillId="4" borderId="2" xfId="0" applyNumberFormat="1" applyFont="1" applyFill="1" applyBorder="1" applyAlignment="1" applyProtection="1">
      <alignment horizontal="left" vertical="center" wrapText="1"/>
    </xf>
    <xf numFmtId="169" fontId="4" fillId="4" borderId="2" xfId="0" applyNumberFormat="1" applyFont="1" applyFill="1" applyBorder="1" applyAlignment="1" applyProtection="1">
      <alignment horizontal="left" vertical="center" wrapText="1"/>
    </xf>
    <xf numFmtId="168" fontId="7" fillId="4" borderId="0" xfId="1" applyNumberFormat="1" applyFont="1" applyFill="1" applyAlignment="1">
      <alignment vertical="center"/>
    </xf>
    <xf numFmtId="171" fontId="3" fillId="0" borderId="2" xfId="0" applyNumberFormat="1" applyFont="1" applyFill="1" applyBorder="1" applyAlignment="1" applyProtection="1">
      <alignment horizontal="left" vertical="center" wrapText="1"/>
    </xf>
    <xf numFmtId="171" fontId="4" fillId="0" borderId="2" xfId="1" applyNumberFormat="1" applyFont="1" applyFill="1" applyBorder="1" applyAlignment="1" applyProtection="1">
      <alignment horizontal="right" vertical="center" wrapText="1"/>
    </xf>
    <xf numFmtId="171" fontId="4" fillId="4" borderId="2" xfId="1" applyNumberFormat="1" applyFont="1" applyFill="1" applyBorder="1" applyAlignment="1" applyProtection="1">
      <alignment horizontal="right" vertical="center" wrapText="1"/>
    </xf>
    <xf numFmtId="171" fontId="3" fillId="4" borderId="2" xfId="0" applyNumberFormat="1" applyFont="1" applyFill="1" applyBorder="1" applyAlignment="1" applyProtection="1">
      <alignment horizontal="left" vertical="center" wrapText="1"/>
    </xf>
    <xf numFmtId="10" fontId="4" fillId="4" borderId="2" xfId="0" applyNumberFormat="1" applyFont="1" applyFill="1" applyBorder="1" applyAlignment="1" applyProtection="1">
      <alignment horizontal="left" vertical="center" wrapText="1"/>
    </xf>
    <xf numFmtId="170" fontId="7" fillId="4" borderId="0" xfId="1" quotePrefix="1" applyNumberFormat="1" applyFont="1" applyFill="1" applyAlignment="1">
      <alignment vertical="center"/>
    </xf>
    <xf numFmtId="170" fontId="7" fillId="4" borderId="0" xfId="1" applyNumberFormat="1" applyFont="1" applyFill="1" applyAlignment="1">
      <alignment vertical="center"/>
    </xf>
    <xf numFmtId="168" fontId="7" fillId="4" borderId="0" xfId="1" applyNumberFormat="1" applyFont="1" applyFill="1" applyAlignment="1">
      <alignment horizontal="left" vertical="center"/>
    </xf>
    <xf numFmtId="168" fontId="8" fillId="4" borderId="0" xfId="1" applyNumberFormat="1" applyFont="1" applyFill="1" applyAlignment="1">
      <alignment vertical="center"/>
    </xf>
    <xf numFmtId="0" fontId="4" fillId="4" borderId="1" xfId="0" applyNumberFormat="1" applyFont="1" applyFill="1" applyBorder="1" applyAlignment="1" applyProtection="1">
      <alignment horizontal="left" vertical="center" wrapText="1"/>
    </xf>
    <xf numFmtId="164" fontId="3" fillId="4" borderId="2" xfId="1"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left" vertical="center" wrapText="1"/>
    </xf>
    <xf numFmtId="164" fontId="3" fillId="0" borderId="2" xfId="1" applyNumberFormat="1" applyFont="1" applyFill="1" applyBorder="1" applyAlignment="1" applyProtection="1">
      <alignment horizontal="right" vertical="center" wrapText="1"/>
    </xf>
    <xf numFmtId="164" fontId="4" fillId="4" borderId="2" xfId="1" applyNumberFormat="1" applyFont="1" applyFill="1" applyBorder="1" applyAlignment="1" applyProtection="1">
      <alignment horizontal="right" vertical="center" wrapText="1"/>
    </xf>
    <xf numFmtId="164" fontId="4" fillId="0" borderId="2"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left" vertical="center" wrapText="1"/>
    </xf>
    <xf numFmtId="167" fontId="0" fillId="5" borderId="0" xfId="1" applyFont="1" applyFill="1"/>
    <xf numFmtId="0" fontId="0" fillId="5" borderId="0" xfId="0" applyFill="1"/>
    <xf numFmtId="167" fontId="0" fillId="0" borderId="0" xfId="1" applyFont="1"/>
    <xf numFmtId="0" fontId="3" fillId="4" borderId="1" xfId="0" applyNumberFormat="1" applyFont="1" applyFill="1" applyBorder="1" applyAlignment="1" applyProtection="1">
      <alignment horizontal="center" vertical="center" wrapText="1"/>
    </xf>
    <xf numFmtId="164" fontId="4" fillId="4" borderId="2" xfId="0" applyNumberFormat="1" applyFont="1" applyFill="1" applyBorder="1" applyAlignment="1" applyProtection="1">
      <alignment horizontal="left" vertical="center" wrapText="1"/>
    </xf>
    <xf numFmtId="14" fontId="7" fillId="0" borderId="0" xfId="0" applyNumberFormat="1" applyFont="1"/>
    <xf numFmtId="167" fontId="7" fillId="4" borderId="0" xfId="1" applyFont="1" applyFill="1"/>
    <xf numFmtId="171" fontId="7" fillId="0" borderId="0" xfId="1" applyNumberFormat="1" applyFont="1"/>
    <xf numFmtId="166" fontId="16" fillId="4" borderId="2" xfId="0" applyNumberFormat="1" applyFont="1" applyFill="1" applyBorder="1" applyAlignment="1" applyProtection="1">
      <alignment horizontal="left" vertical="center" wrapText="1"/>
    </xf>
    <xf numFmtId="171" fontId="16" fillId="0" borderId="2" xfId="1" applyNumberFormat="1" applyFont="1" applyFill="1" applyBorder="1" applyAlignment="1" applyProtection="1">
      <alignment horizontal="right" vertical="center" wrapText="1"/>
    </xf>
    <xf numFmtId="171" fontId="17" fillId="0" borderId="2" xfId="1" applyNumberFormat="1" applyFont="1" applyFill="1" applyBorder="1" applyAlignment="1" applyProtection="1">
      <alignment horizontal="right" vertical="center" wrapText="1"/>
    </xf>
    <xf numFmtId="0" fontId="16" fillId="0" borderId="0" xfId="0" applyNumberFormat="1" applyFont="1" applyFill="1" applyBorder="1" applyAlignment="1" applyProtection="1">
      <alignment vertical="center" readingOrder="1"/>
    </xf>
    <xf numFmtId="165" fontId="16" fillId="0" borderId="1" xfId="1" applyNumberFormat="1" applyFont="1" applyFill="1" applyBorder="1" applyAlignment="1" applyProtection="1">
      <alignment horizontal="left" vertical="center" wrapText="1"/>
    </xf>
    <xf numFmtId="167" fontId="16" fillId="4" borderId="1" xfId="1" applyNumberFormat="1" applyFont="1" applyFill="1" applyBorder="1" applyAlignment="1" applyProtection="1">
      <alignment horizontal="left" vertical="center" wrapText="1"/>
    </xf>
    <xf numFmtId="168" fontId="16" fillId="4" borderId="1" xfId="1" applyNumberFormat="1" applyFont="1" applyFill="1" applyBorder="1" applyAlignment="1" applyProtection="1">
      <alignment horizontal="left" vertical="center" wrapText="1"/>
    </xf>
    <xf numFmtId="49" fontId="16" fillId="0" borderId="3" xfId="0" applyNumberFormat="1" applyFont="1" applyFill="1" applyBorder="1" applyAlignment="1" applyProtection="1">
      <alignment horizontal="left" vertical="center" wrapText="1"/>
    </xf>
    <xf numFmtId="10" fontId="4" fillId="4" borderId="1" xfId="4" applyNumberFormat="1" applyFont="1" applyFill="1" applyBorder="1" applyAlignment="1" applyProtection="1">
      <alignment horizontal="right"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cellXfs>
  <cellStyles count="5">
    <cellStyle name="Comma" xfId="1" builtinId="3"/>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ungdt8\AppData\Local\Temp\BCDinhKyHoatDongDauTu_QuyMo_PL34_TT183_%20Thang%2005_201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UYENNN\QUY%20MOI%20BVIF\Fee%20Accrued\1.%20BANG%20TD%20TIEN%20GUI_BVBF_20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UYENNN\QUY%20MOI%20BVIF\Bang%20PB\Bang%20phan%20bo%20ngay%20N2016_BVBF.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ng quat"/>
      <sheetName val="BCTaiSan_06027"/>
      <sheetName val="BCKetQuaHoatDong_06028"/>
      <sheetName val="BCDanhMucDauTu_06029"/>
      <sheetName val="Khac_06030"/>
    </sheetNames>
    <sheetDataSet>
      <sheetData sheetId="0" refreshError="1"/>
      <sheetData sheetId="1" refreshError="1"/>
      <sheetData sheetId="2">
        <row r="6">
          <cell r="D6">
            <v>119963532</v>
          </cell>
        </row>
        <row r="7">
          <cell r="D7">
            <v>15928341</v>
          </cell>
        </row>
        <row r="8">
          <cell r="D8">
            <v>20769733</v>
          </cell>
        </row>
        <row r="9">
          <cell r="D9">
            <v>11000000</v>
          </cell>
        </row>
        <row r="10">
          <cell r="D10">
            <v>3387096</v>
          </cell>
        </row>
      </sheetData>
      <sheetData sheetId="3" refreshError="1"/>
      <sheetData sheetId="4">
        <row r="8">
          <cell r="I8">
            <v>77772516686</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pr.2016"/>
      <sheetName val="Bond"/>
    </sheetNames>
    <sheetDataSet>
      <sheetData sheetId="0">
        <row r="17">
          <cell r="H17">
            <v>51200000000</v>
          </cell>
        </row>
      </sheetData>
      <sheetData sheetId="1">
        <row r="5">
          <cell r="L5">
            <v>76409880000</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0.5_VIC"/>
      <sheetName val="24.5_GB"/>
      <sheetName val="24.5_BID"/>
      <sheetName val="26.5_Sell.Repo"/>
      <sheetName val="Sheet1"/>
    </sheetNames>
    <sheetDataSet>
      <sheetData sheetId="0"/>
      <sheetData sheetId="1"/>
      <sheetData sheetId="2"/>
      <sheetData sheetId="3">
        <row r="18">
          <cell r="J18">
            <v>51215500000</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2:K38"/>
  <sheetViews>
    <sheetView tabSelected="1" workbookViewId="0">
      <selection activeCell="C12" sqref="C12"/>
    </sheetView>
  </sheetViews>
  <sheetFormatPr defaultColWidth="9.140625" defaultRowHeight="15"/>
  <cols>
    <col min="1" max="2" width="9.140625" style="39"/>
    <col min="3" max="3" width="31.42578125" style="39" bestFit="1" customWidth="1"/>
    <col min="4" max="4" width="38.7109375" style="39" customWidth="1"/>
    <col min="5" max="9" width="9.140625" style="39"/>
    <col min="10" max="11" width="0" style="39" hidden="1" customWidth="1"/>
    <col min="12" max="16384" width="9.140625" style="39"/>
  </cols>
  <sheetData>
    <row r="2" spans="1:11" ht="18.75">
      <c r="C2" s="40" t="s">
        <v>109</v>
      </c>
    </row>
    <row r="3" spans="1:11" ht="12" customHeight="1">
      <c r="C3" s="40"/>
    </row>
    <row r="4" spans="1:11">
      <c r="C4" s="41" t="s">
        <v>207</v>
      </c>
      <c r="D4" s="42" t="s">
        <v>204</v>
      </c>
    </row>
    <row r="5" spans="1:11">
      <c r="C5" s="41" t="s">
        <v>208</v>
      </c>
      <c r="D5" s="42">
        <v>5</v>
      </c>
    </row>
    <row r="6" spans="1:11">
      <c r="C6" s="41" t="s">
        <v>199</v>
      </c>
      <c r="D6" s="43">
        <v>2016</v>
      </c>
      <c r="J6" s="39" t="s">
        <v>204</v>
      </c>
    </row>
    <row r="7" spans="1:11">
      <c r="J7" s="39" t="s">
        <v>205</v>
      </c>
    </row>
    <row r="8" spans="1:11">
      <c r="A8" s="39" t="s">
        <v>226</v>
      </c>
      <c r="J8" s="39" t="s">
        <v>206</v>
      </c>
    </row>
    <row r="9" spans="1:11">
      <c r="A9" s="39" t="s">
        <v>286</v>
      </c>
    </row>
    <row r="10" spans="1:11" ht="14.25" customHeight="1">
      <c r="A10" s="39" t="s">
        <v>285</v>
      </c>
      <c r="J10" s="39">
        <v>1</v>
      </c>
      <c r="K10" s="39" t="s">
        <v>124</v>
      </c>
    </row>
    <row r="11" spans="1:11">
      <c r="A11" s="39" t="s">
        <v>295</v>
      </c>
      <c r="J11" s="39">
        <v>2</v>
      </c>
      <c r="K11" s="39" t="s">
        <v>150</v>
      </c>
    </row>
    <row r="12" spans="1:11">
      <c r="J12" s="39">
        <v>3</v>
      </c>
      <c r="K12" s="39" t="s">
        <v>128</v>
      </c>
    </row>
    <row r="13" spans="1:11">
      <c r="D13" s="39" t="s">
        <v>110</v>
      </c>
      <c r="J13" s="39">
        <v>4</v>
      </c>
      <c r="K13" s="39" t="s">
        <v>165</v>
      </c>
    </row>
    <row r="14" spans="1:11">
      <c r="J14" s="39">
        <v>5</v>
      </c>
      <c r="K14" s="44"/>
    </row>
    <row r="15" spans="1:11">
      <c r="J15" s="39">
        <v>6</v>
      </c>
      <c r="K15" s="44"/>
    </row>
    <row r="16" spans="1:11">
      <c r="B16" s="45" t="s">
        <v>51</v>
      </c>
      <c r="C16" s="46" t="s">
        <v>102</v>
      </c>
      <c r="D16" s="46" t="s">
        <v>103</v>
      </c>
      <c r="J16" s="39">
        <v>7</v>
      </c>
      <c r="K16" s="44"/>
    </row>
    <row r="17" spans="1:11">
      <c r="B17" s="47">
        <v>1</v>
      </c>
      <c r="C17" s="48" t="s">
        <v>111</v>
      </c>
      <c r="D17" s="49" t="s">
        <v>113</v>
      </c>
      <c r="J17" s="39">
        <v>8</v>
      </c>
      <c r="K17" s="44"/>
    </row>
    <row r="18" spans="1:11">
      <c r="B18" s="47">
        <v>2</v>
      </c>
      <c r="C18" s="48" t="s">
        <v>104</v>
      </c>
      <c r="D18" s="49" t="s">
        <v>114</v>
      </c>
      <c r="J18" s="39">
        <v>9</v>
      </c>
      <c r="K18" s="44"/>
    </row>
    <row r="19" spans="1:11">
      <c r="B19" s="47">
        <v>3</v>
      </c>
      <c r="C19" s="48" t="s">
        <v>112</v>
      </c>
      <c r="D19" s="49" t="s">
        <v>115</v>
      </c>
      <c r="J19" s="39">
        <v>10</v>
      </c>
      <c r="K19" s="44"/>
    </row>
    <row r="20" spans="1:11">
      <c r="B20" s="47">
        <v>4</v>
      </c>
      <c r="C20" s="48" t="s">
        <v>105</v>
      </c>
      <c r="D20" s="49" t="s">
        <v>116</v>
      </c>
      <c r="J20" s="39">
        <v>11</v>
      </c>
      <c r="K20" s="44"/>
    </row>
    <row r="21" spans="1:11">
      <c r="B21" s="45"/>
      <c r="C21" s="45"/>
      <c r="D21" s="45"/>
      <c r="J21" s="39">
        <v>12</v>
      </c>
      <c r="K21" s="44"/>
    </row>
    <row r="23" spans="1:11">
      <c r="B23" s="50" t="s">
        <v>106</v>
      </c>
      <c r="C23" s="51" t="s">
        <v>107</v>
      </c>
    </row>
    <row r="24" spans="1:11">
      <c r="C24" s="51" t="s">
        <v>108</v>
      </c>
    </row>
    <row r="29" spans="1:11" ht="29.25" customHeight="1">
      <c r="A29" s="52"/>
      <c r="B29" s="52"/>
      <c r="C29" s="53" t="s">
        <v>201</v>
      </c>
      <c r="D29" s="53" t="s">
        <v>238</v>
      </c>
    </row>
    <row r="30" spans="1:11">
      <c r="C30" s="54" t="s">
        <v>200</v>
      </c>
      <c r="D30" s="54" t="s">
        <v>200</v>
      </c>
    </row>
    <row r="38" spans="3:3">
      <c r="C38" s="55"/>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s>
  <pageMargins left="0.17" right="0.26" top="0.75" bottom="0.75" header="0.3" footer="0.3"/>
  <pageSetup paperSize="9" scale="93" orientation="portrait" r:id="rId1"/>
  <header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K47"/>
  <sheetViews>
    <sheetView workbookViewId="0">
      <selection activeCell="D24" sqref="D24"/>
    </sheetView>
  </sheetViews>
  <sheetFormatPr defaultColWidth="9.140625" defaultRowHeight="15"/>
  <cols>
    <col min="1" max="1" width="9.140625" style="64"/>
    <col min="2" max="2" width="28.85546875" style="64" customWidth="1"/>
    <col min="3" max="3" width="13" style="64" customWidth="1"/>
    <col min="4" max="4" width="22" style="101" customWidth="1"/>
    <col min="5" max="5" width="22" style="66" customWidth="1"/>
    <col min="6" max="6" width="22" style="88" customWidth="1"/>
    <col min="7" max="7" width="21" style="108" hidden="1" customWidth="1"/>
    <col min="8" max="8" width="9.140625" style="64"/>
    <col min="9" max="9" width="26" style="64" customWidth="1"/>
    <col min="10" max="10" width="23.85546875" style="64" customWidth="1"/>
    <col min="11" max="16384" width="9.140625" style="64"/>
  </cols>
  <sheetData>
    <row r="1" spans="1:11">
      <c r="A1" s="32" t="s">
        <v>51</v>
      </c>
      <c r="B1" s="28" t="s">
        <v>102</v>
      </c>
      <c r="C1" s="13" t="s">
        <v>117</v>
      </c>
      <c r="D1" s="83" t="s">
        <v>118</v>
      </c>
      <c r="E1" s="29" t="s">
        <v>100</v>
      </c>
      <c r="F1" s="29" t="s">
        <v>119</v>
      </c>
      <c r="G1" s="107"/>
    </row>
    <row r="2" spans="1:11">
      <c r="A2" s="65" t="s">
        <v>124</v>
      </c>
      <c r="B2" s="5" t="s">
        <v>0</v>
      </c>
      <c r="C2" s="3" t="s">
        <v>1</v>
      </c>
      <c r="D2" s="91"/>
      <c r="E2" s="4"/>
      <c r="F2" s="85"/>
    </row>
    <row r="3" spans="1:11">
      <c r="A3" s="65" t="s">
        <v>142</v>
      </c>
      <c r="B3" s="6" t="s">
        <v>164</v>
      </c>
      <c r="C3" s="3" t="s">
        <v>2</v>
      </c>
      <c r="D3" s="98">
        <f ca="1">D4+D5+D6</f>
        <v>871914274</v>
      </c>
      <c r="E3" s="9">
        <v>0</v>
      </c>
      <c r="F3" s="86">
        <f ca="1">IF(ISERROR(D3/G3),"-",D3/G3)</f>
        <v>0.1717045283086317</v>
      </c>
      <c r="G3" s="98">
        <v>5077992308</v>
      </c>
      <c r="H3" s="74"/>
      <c r="J3" s="90"/>
      <c r="K3" s="90"/>
    </row>
    <row r="4" spans="1:11">
      <c r="A4" s="65"/>
      <c r="B4" s="6" t="s">
        <v>3</v>
      </c>
      <c r="C4" s="3" t="s">
        <v>4</v>
      </c>
      <c r="D4" s="98">
        <v>0</v>
      </c>
      <c r="E4" s="9">
        <v>0</v>
      </c>
      <c r="F4" s="86">
        <f t="shared" ref="F4:F28" si="0">IF(ISERROR(D4/G4),"-",D4/G4)</f>
        <v>0</v>
      </c>
      <c r="G4" s="101">
        <v>5077992308</v>
      </c>
      <c r="H4" s="74"/>
      <c r="J4" s="90"/>
      <c r="K4" s="90"/>
    </row>
    <row r="5" spans="1:11">
      <c r="A5" s="65"/>
      <c r="B5" s="6" t="s">
        <v>5</v>
      </c>
      <c r="C5" s="3" t="s">
        <v>6</v>
      </c>
      <c r="D5" s="98">
        <f ca="1">BCDanhMucDauTu_06029!F32</f>
        <v>871914274</v>
      </c>
      <c r="E5" s="9">
        <v>0</v>
      </c>
      <c r="F5" s="86" t="str">
        <f t="shared" ca="1" si="0"/>
        <v>-</v>
      </c>
      <c r="G5" s="101">
        <v>0</v>
      </c>
      <c r="H5" s="74"/>
      <c r="J5" s="90"/>
      <c r="K5" s="90"/>
    </row>
    <row r="6" spans="1:11">
      <c r="A6" s="65"/>
      <c r="B6" s="6" t="s">
        <v>7</v>
      </c>
      <c r="C6" s="3" t="s">
        <v>8</v>
      </c>
      <c r="D6" s="98"/>
      <c r="E6" s="9">
        <v>0</v>
      </c>
      <c r="F6" s="86" t="str">
        <f t="shared" si="0"/>
        <v>-</v>
      </c>
      <c r="G6" s="101"/>
      <c r="H6" s="74"/>
      <c r="J6" s="90"/>
      <c r="K6" s="90"/>
    </row>
    <row r="7" spans="1:11">
      <c r="A7" s="65" t="s">
        <v>143</v>
      </c>
      <c r="B7" s="6" t="s">
        <v>163</v>
      </c>
      <c r="C7" s="3" t="s">
        <v>9</v>
      </c>
      <c r="D7" s="98">
        <f ca="1">SUM(D8:D10)</f>
        <v>125887908888</v>
      </c>
      <c r="E7" s="9">
        <v>0</v>
      </c>
      <c r="F7" s="86">
        <f t="shared" ca="1" si="0"/>
        <v>1.8968139670616166</v>
      </c>
      <c r="G7" s="101">
        <v>66368084100</v>
      </c>
      <c r="H7" s="74"/>
      <c r="J7" s="90"/>
      <c r="K7" s="90"/>
    </row>
    <row r="8" spans="1:11">
      <c r="A8" s="65"/>
      <c r="B8" s="6" t="s">
        <v>221</v>
      </c>
      <c r="C8" s="3" t="s">
        <v>137</v>
      </c>
      <c r="D8" s="98">
        <f ca="1">BCDanhMucDauTu_06029!F6</f>
        <v>0</v>
      </c>
      <c r="E8" s="9">
        <v>0</v>
      </c>
      <c r="F8" s="86">
        <f t="shared" ca="1" si="0"/>
        <v>0</v>
      </c>
      <c r="G8" s="101">
        <v>66368084100</v>
      </c>
      <c r="H8" s="74"/>
      <c r="J8" s="90"/>
      <c r="K8" s="90"/>
    </row>
    <row r="9" spans="1:11">
      <c r="A9" s="65"/>
      <c r="B9" s="6" t="s">
        <v>56</v>
      </c>
      <c r="C9" s="3" t="s">
        <v>138</v>
      </c>
      <c r="D9" s="98">
        <f ca="1">BCDanhMucDauTu_06029!F19</f>
        <v>74687908888</v>
      </c>
      <c r="E9" s="9">
        <v>0</v>
      </c>
      <c r="F9" s="86" t="str">
        <f t="shared" ca="1" si="0"/>
        <v>-</v>
      </c>
      <c r="G9" s="101">
        <v>0</v>
      </c>
      <c r="H9" s="74"/>
      <c r="J9" s="90"/>
      <c r="K9" s="90"/>
    </row>
    <row r="10" spans="1:11">
      <c r="A10" s="65"/>
      <c r="B10" s="6" t="s">
        <v>289</v>
      </c>
      <c r="C10" s="3" t="s">
        <v>239</v>
      </c>
      <c r="D10" s="98">
        <f ca="1">BCDanhMucDauTu_06029!F34</f>
        <v>51200000000</v>
      </c>
      <c r="E10" s="9">
        <v>0</v>
      </c>
      <c r="F10" s="86"/>
      <c r="G10" s="101"/>
      <c r="H10" s="74"/>
      <c r="I10" s="90"/>
      <c r="J10" s="90"/>
      <c r="K10" s="90"/>
    </row>
    <row r="11" spans="1:11">
      <c r="A11" s="65" t="s">
        <v>144</v>
      </c>
      <c r="B11" s="6" t="s">
        <v>290</v>
      </c>
      <c r="C11" s="3" t="s">
        <v>10</v>
      </c>
      <c r="D11" s="98">
        <f ca="1">BCDanhMucDauTu_06029!F28+BCDanhMucDauTu_06029!F26</f>
        <v>2626120219</v>
      </c>
      <c r="E11" s="9">
        <v>0</v>
      </c>
      <c r="F11" s="86" t="str">
        <f t="shared" ca="1" si="0"/>
        <v>-</v>
      </c>
      <c r="G11" s="101">
        <v>0</v>
      </c>
      <c r="H11" s="74"/>
      <c r="J11" s="90"/>
      <c r="K11" s="90"/>
    </row>
    <row r="12" spans="1:11">
      <c r="A12" s="65" t="s">
        <v>145</v>
      </c>
      <c r="B12" s="6" t="s">
        <v>162</v>
      </c>
      <c r="C12" s="3" t="s">
        <v>11</v>
      </c>
      <c r="D12" s="98">
        <f ca="1">BCDanhMucDauTu_06029!F27</f>
        <v>46222223</v>
      </c>
      <c r="E12" s="9">
        <v>0</v>
      </c>
      <c r="F12" s="86" t="str">
        <f t="shared" ca="1" si="0"/>
        <v>-</v>
      </c>
      <c r="G12" s="101">
        <v>0</v>
      </c>
      <c r="H12" s="74"/>
      <c r="J12" s="90"/>
      <c r="K12" s="90"/>
    </row>
    <row r="13" spans="1:11" ht="21">
      <c r="A13" s="65" t="s">
        <v>146</v>
      </c>
      <c r="B13" s="6" t="s">
        <v>161</v>
      </c>
      <c r="C13" s="3" t="s">
        <v>12</v>
      </c>
      <c r="D13" s="98">
        <f ca="1">SUM(D14:D16)</f>
        <v>0</v>
      </c>
      <c r="E13" s="9">
        <v>0</v>
      </c>
      <c r="F13" s="86" t="str">
        <f t="shared" ca="1" si="0"/>
        <v>-</v>
      </c>
      <c r="G13" s="101">
        <v>0</v>
      </c>
      <c r="H13" s="74"/>
      <c r="J13" s="90"/>
      <c r="K13" s="90"/>
    </row>
    <row r="14" spans="1:11" s="67" customFormat="1">
      <c r="A14" s="65"/>
      <c r="B14" s="6" t="s">
        <v>221</v>
      </c>
      <c r="C14" s="3" t="s">
        <v>139</v>
      </c>
      <c r="D14" s="98">
        <f ca="1">BCDanhMucDauTu_06029!F29</f>
        <v>0</v>
      </c>
      <c r="E14" s="9">
        <v>0</v>
      </c>
      <c r="F14" s="86" t="str">
        <f t="shared" ca="1" si="0"/>
        <v>-</v>
      </c>
      <c r="G14" s="109"/>
      <c r="H14" s="74"/>
      <c r="I14" s="64"/>
      <c r="J14" s="90"/>
      <c r="K14" s="90"/>
    </row>
    <row r="15" spans="1:11" s="67" customFormat="1">
      <c r="A15" s="65"/>
      <c r="B15" s="6" t="s">
        <v>216</v>
      </c>
      <c r="C15" s="3" t="s">
        <v>140</v>
      </c>
      <c r="D15" s="98"/>
      <c r="E15" s="9"/>
      <c r="F15" s="86" t="str">
        <f t="shared" si="0"/>
        <v>-</v>
      </c>
      <c r="G15" s="109"/>
      <c r="H15" s="74"/>
      <c r="I15" s="64"/>
      <c r="J15" s="90"/>
      <c r="K15" s="90"/>
    </row>
    <row r="16" spans="1:11" s="67" customFormat="1">
      <c r="A16" s="65"/>
      <c r="B16" s="6" t="s">
        <v>216</v>
      </c>
      <c r="C16" s="3" t="s">
        <v>212</v>
      </c>
      <c r="D16" s="98"/>
      <c r="E16" s="9"/>
      <c r="F16" s="86" t="str">
        <f t="shared" si="0"/>
        <v>-</v>
      </c>
      <c r="G16" s="109"/>
      <c r="H16" s="74"/>
      <c r="J16" s="90"/>
      <c r="K16" s="90"/>
    </row>
    <row r="17" spans="1:11">
      <c r="A17" s="65" t="s">
        <v>147</v>
      </c>
      <c r="B17" s="6" t="s">
        <v>160</v>
      </c>
      <c r="C17" s="3" t="s">
        <v>13</v>
      </c>
      <c r="D17" s="98">
        <v>0</v>
      </c>
      <c r="E17" s="9">
        <v>0</v>
      </c>
      <c r="F17" s="86" t="str">
        <f t="shared" si="0"/>
        <v>-</v>
      </c>
      <c r="G17" s="101">
        <v>0</v>
      </c>
      <c r="H17" s="74"/>
      <c r="I17" s="67"/>
      <c r="J17" s="90"/>
      <c r="K17" s="90"/>
    </row>
    <row r="18" spans="1:11">
      <c r="A18" s="65" t="s">
        <v>148</v>
      </c>
      <c r="B18" s="6" t="s">
        <v>159</v>
      </c>
      <c r="C18" s="3" t="s">
        <v>14</v>
      </c>
      <c r="D18" s="98">
        <v>0</v>
      </c>
      <c r="E18" s="9">
        <v>0</v>
      </c>
      <c r="F18" s="86" t="str">
        <f t="shared" si="0"/>
        <v>-</v>
      </c>
      <c r="G18" s="101"/>
      <c r="H18" s="74"/>
      <c r="I18" s="67"/>
      <c r="J18" s="90"/>
      <c r="K18" s="90"/>
    </row>
    <row r="19" spans="1:11" s="69" customFormat="1">
      <c r="A19" s="68" t="s">
        <v>149</v>
      </c>
      <c r="B19" s="5" t="s">
        <v>158</v>
      </c>
      <c r="C19" s="24" t="s">
        <v>15</v>
      </c>
      <c r="D19" s="99">
        <f ca="1">D3+D7+D11+D12+D13+D17+D18</f>
        <v>129432165604</v>
      </c>
      <c r="E19" s="16">
        <v>0</v>
      </c>
      <c r="F19" s="87">
        <f t="shared" ca="1" si="0"/>
        <v>1.8116063486098888</v>
      </c>
      <c r="G19" s="110">
        <v>71446076408</v>
      </c>
      <c r="H19" s="74"/>
      <c r="I19" s="64"/>
      <c r="J19" s="90"/>
      <c r="K19" s="90"/>
    </row>
    <row r="20" spans="1:11">
      <c r="A20" s="65" t="s">
        <v>150</v>
      </c>
      <c r="B20" s="5" t="s">
        <v>157</v>
      </c>
      <c r="C20" s="3" t="s">
        <v>16</v>
      </c>
      <c r="D20" s="98"/>
      <c r="E20" s="9"/>
      <c r="F20" s="86" t="str">
        <f t="shared" si="0"/>
        <v>-</v>
      </c>
      <c r="G20" s="101"/>
      <c r="H20" s="74"/>
      <c r="J20" s="90"/>
      <c r="K20" s="90"/>
    </row>
    <row r="21" spans="1:11" ht="21">
      <c r="A21" s="65" t="s">
        <v>151</v>
      </c>
      <c r="B21" s="6" t="s">
        <v>156</v>
      </c>
      <c r="C21" s="3" t="s">
        <v>17</v>
      </c>
      <c r="D21" s="98">
        <f>SUM(D22:D23)</f>
        <v>0</v>
      </c>
      <c r="E21" s="9">
        <v>0</v>
      </c>
      <c r="F21" s="86" t="str">
        <f t="shared" si="0"/>
        <v>-</v>
      </c>
      <c r="G21" s="101">
        <v>0</v>
      </c>
      <c r="H21" s="74"/>
      <c r="I21" s="69"/>
      <c r="J21" s="90"/>
      <c r="K21" s="90"/>
    </row>
    <row r="22" spans="1:11">
      <c r="A22" s="65"/>
      <c r="B22" s="6" t="s">
        <v>237</v>
      </c>
      <c r="C22" s="3" t="s">
        <v>141</v>
      </c>
      <c r="D22" s="98">
        <v>0</v>
      </c>
      <c r="E22" s="9">
        <v>0</v>
      </c>
      <c r="F22" s="86" t="str">
        <f t="shared" si="0"/>
        <v>-</v>
      </c>
      <c r="G22" s="101"/>
      <c r="H22" s="74"/>
      <c r="J22" s="90"/>
      <c r="K22" s="90"/>
    </row>
    <row r="23" spans="1:11">
      <c r="A23" s="65"/>
      <c r="B23" s="6" t="s">
        <v>216</v>
      </c>
      <c r="C23" s="3" t="s">
        <v>213</v>
      </c>
      <c r="D23" s="98"/>
      <c r="E23" s="9"/>
      <c r="F23" s="86" t="str">
        <f t="shared" si="0"/>
        <v>-</v>
      </c>
      <c r="G23" s="101"/>
      <c r="H23" s="74"/>
      <c r="J23" s="90"/>
      <c r="K23" s="90"/>
    </row>
    <row r="24" spans="1:11">
      <c r="A24" s="65" t="s">
        <v>152</v>
      </c>
      <c r="B24" s="6" t="s">
        <v>155</v>
      </c>
      <c r="C24" s="3" t="s">
        <v>18</v>
      </c>
      <c r="D24" s="98">
        <v>51659648918</v>
      </c>
      <c r="E24" s="9">
        <v>0</v>
      </c>
      <c r="F24" s="86">
        <f t="shared" si="0"/>
        <v>232.98901276152094</v>
      </c>
      <c r="G24" s="101">
        <v>221725687</v>
      </c>
      <c r="H24" s="74"/>
      <c r="J24" s="90"/>
      <c r="K24" s="90"/>
    </row>
    <row r="25" spans="1:11">
      <c r="A25" s="65" t="s">
        <v>153</v>
      </c>
      <c r="B25" s="6" t="s">
        <v>154</v>
      </c>
      <c r="C25" s="3" t="s">
        <v>19</v>
      </c>
      <c r="D25" s="98">
        <f>D24+D21</f>
        <v>51659648918</v>
      </c>
      <c r="E25" s="9">
        <v>0</v>
      </c>
      <c r="F25" s="86">
        <f t="shared" si="0"/>
        <v>232.98901276152094</v>
      </c>
      <c r="G25" s="101">
        <v>221725687</v>
      </c>
      <c r="H25" s="74"/>
      <c r="J25" s="90"/>
      <c r="K25" s="90"/>
    </row>
    <row r="26" spans="1:11" s="69" customFormat="1" ht="21">
      <c r="A26" s="68"/>
      <c r="B26" s="5" t="s">
        <v>135</v>
      </c>
      <c r="C26" s="24" t="s">
        <v>20</v>
      </c>
      <c r="D26" s="99">
        <f ca="1">D19-D25</f>
        <v>77772516686</v>
      </c>
      <c r="E26" s="16">
        <v>76856000000</v>
      </c>
      <c r="F26" s="87">
        <f t="shared" ca="1" si="0"/>
        <v>1.0919371801738211</v>
      </c>
      <c r="G26" s="110">
        <v>71224350721</v>
      </c>
      <c r="H26" s="74"/>
      <c r="I26" s="64"/>
      <c r="J26" s="90"/>
      <c r="K26" s="90"/>
    </row>
    <row r="27" spans="1:11">
      <c r="A27" s="65"/>
      <c r="B27" s="6" t="s">
        <v>21</v>
      </c>
      <c r="C27" s="3" t="s">
        <v>22</v>
      </c>
      <c r="D27" s="100">
        <f>7685600+99.62</f>
        <v>7685699.6200000001</v>
      </c>
      <c r="E27" s="60">
        <f>7685600</f>
        <v>7685600</v>
      </c>
      <c r="F27" s="86">
        <f t="shared" si="0"/>
        <v>1.0464150853783232</v>
      </c>
      <c r="G27" s="101">
        <v>7344790.54</v>
      </c>
      <c r="H27" s="74"/>
      <c r="J27" s="90"/>
      <c r="K27" s="90"/>
    </row>
    <row r="28" spans="1:11" ht="21">
      <c r="A28" s="65"/>
      <c r="B28" s="6" t="s">
        <v>23</v>
      </c>
      <c r="C28" s="3" t="s">
        <v>24</v>
      </c>
      <c r="D28" s="122">
        <f ca="1">ROUNDDOWN(D26/D27,0)</f>
        <v>10119</v>
      </c>
      <c r="E28" s="9">
        <f>E26/E27</f>
        <v>10000</v>
      </c>
      <c r="F28" s="86">
        <f t="shared" ca="1" si="0"/>
        <v>1.0435186140043313</v>
      </c>
      <c r="G28" s="101">
        <v>9697</v>
      </c>
      <c r="H28" s="74"/>
      <c r="I28" s="69"/>
      <c r="J28" s="90"/>
      <c r="K28" s="90"/>
    </row>
    <row r="29" spans="1:11">
      <c r="A29" s="28"/>
      <c r="B29" s="28"/>
      <c r="C29" s="13"/>
      <c r="D29" s="117"/>
      <c r="E29" s="13"/>
      <c r="F29" s="13"/>
      <c r="H29" s="74"/>
      <c r="J29" s="90"/>
    </row>
    <row r="30" spans="1:11">
      <c r="D30" s="101">
        <f ca="1">D26-BCKetQuaHoatDong_06028!D29</f>
        <v>0</v>
      </c>
      <c r="H30" s="74"/>
      <c r="J30" s="90"/>
    </row>
    <row r="31" spans="1:11" ht="21" customHeight="1">
      <c r="B31" s="81"/>
      <c r="C31" s="81"/>
      <c r="D31" s="89"/>
      <c r="E31" s="81"/>
      <c r="F31" s="89"/>
      <c r="H31" s="74"/>
      <c r="J31" s="90"/>
    </row>
    <row r="32" spans="1:11">
      <c r="H32" s="74"/>
      <c r="J32" s="90"/>
    </row>
    <row r="33" spans="8:10">
      <c r="H33" s="74"/>
      <c r="J33" s="90"/>
    </row>
    <row r="34" spans="8:10">
      <c r="H34" s="74"/>
      <c r="J34" s="90"/>
    </row>
    <row r="35" spans="8:10">
      <c r="H35" s="74"/>
      <c r="J35" s="90"/>
    </row>
    <row r="36" spans="8:10">
      <c r="H36" s="74"/>
      <c r="J36" s="90"/>
    </row>
    <row r="37" spans="8:10">
      <c r="H37" s="74"/>
      <c r="J37" s="90"/>
    </row>
    <row r="38" spans="8:10">
      <c r="H38" s="74"/>
      <c r="J38" s="90"/>
    </row>
    <row r="39" spans="8:10">
      <c r="H39" s="74"/>
      <c r="J39" s="90"/>
    </row>
    <row r="40" spans="8:10">
      <c r="H40" s="74"/>
      <c r="J40" s="90"/>
    </row>
    <row r="41" spans="8:10">
      <c r="H41" s="74"/>
      <c r="J41" s="90"/>
    </row>
    <row r="42" spans="8:10">
      <c r="H42" s="74"/>
    </row>
    <row r="43" spans="8:10">
      <c r="H43" s="74"/>
    </row>
    <row r="44" spans="8:10">
      <c r="H44" s="74"/>
    </row>
    <row r="45" spans="8:10">
      <c r="H45" s="74"/>
    </row>
    <row r="46" spans="8:10">
      <c r="H46" s="74"/>
    </row>
    <row r="47" spans="8:10">
      <c r="H47" s="74"/>
    </row>
  </sheetData>
  <pageMargins left="0.17" right="0.17" top="0.75" bottom="0.75" header="0.3" footer="0.3"/>
  <pageSetup paperSize="9" scale="86"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pageSetUpPr fitToPage="1"/>
  </sheetPr>
  <dimension ref="A1:X36"/>
  <sheetViews>
    <sheetView workbookViewId="0">
      <selection activeCell="B10" sqref="B10"/>
    </sheetView>
  </sheetViews>
  <sheetFormatPr defaultColWidth="9.140625" defaultRowHeight="15"/>
  <cols>
    <col min="1" max="1" width="6.85546875" style="14" customWidth="1"/>
    <col min="2" max="2" width="43.42578125" style="14" customWidth="1"/>
    <col min="3" max="3" width="9.140625" style="14"/>
    <col min="4" max="4" width="19.42578125" style="84" customWidth="1"/>
    <col min="5" max="5" width="19.42578125" style="31" customWidth="1"/>
    <col min="6" max="6" width="20.42578125" style="79" customWidth="1"/>
    <col min="7" max="7" width="20.42578125" style="30" customWidth="1"/>
    <col min="8" max="8" width="20.42578125" style="14" customWidth="1"/>
    <col min="9" max="9" width="15.28515625" style="14" customWidth="1"/>
    <col min="10" max="10" width="16.28515625" style="14" customWidth="1"/>
    <col min="11" max="12" width="9.140625" style="14" customWidth="1"/>
    <col min="13" max="13" width="30.140625" style="14" customWidth="1"/>
    <col min="14" max="14" width="11.7109375" style="14" customWidth="1"/>
    <col min="15" max="15" width="14.7109375" style="14" customWidth="1"/>
    <col min="16" max="16" width="18" style="62" customWidth="1"/>
    <col min="17" max="17" width="9.140625" style="14" customWidth="1"/>
    <col min="18" max="16384" width="9.140625" style="14"/>
  </cols>
  <sheetData>
    <row r="1" spans="1:24" ht="21">
      <c r="A1" s="27" t="s">
        <v>51</v>
      </c>
      <c r="B1" s="28" t="s">
        <v>99</v>
      </c>
      <c r="C1" s="13" t="s">
        <v>117</v>
      </c>
      <c r="D1" s="29" t="s">
        <v>118</v>
      </c>
      <c r="E1" s="29" t="s">
        <v>100</v>
      </c>
      <c r="F1" s="76" t="s">
        <v>120</v>
      </c>
      <c r="M1" t="s">
        <v>240</v>
      </c>
      <c r="N1"/>
      <c r="O1" t="s">
        <v>241</v>
      </c>
    </row>
    <row r="2" spans="1:24">
      <c r="A2" s="25" t="s">
        <v>124</v>
      </c>
      <c r="B2" s="5" t="s">
        <v>171</v>
      </c>
      <c r="C2" s="3" t="s">
        <v>25</v>
      </c>
      <c r="D2" s="99">
        <f>SUM(D3:D5)</f>
        <v>269612800</v>
      </c>
      <c r="E2" s="16">
        <v>0</v>
      </c>
      <c r="F2" s="77">
        <f>SUM(F3:F5)</f>
        <v>269612800</v>
      </c>
      <c r="H2" s="61"/>
      <c r="I2" s="61"/>
      <c r="J2" s="61"/>
      <c r="K2" s="61"/>
      <c r="L2" s="61"/>
      <c r="M2" t="s">
        <v>244</v>
      </c>
      <c r="N2" t="s">
        <v>245</v>
      </c>
      <c r="O2">
        <v>300000</v>
      </c>
      <c r="P2" s="120">
        <v>979400</v>
      </c>
      <c r="Q2" s="118"/>
      <c r="W2" s="61"/>
      <c r="X2" s="61"/>
    </row>
    <row r="3" spans="1:24">
      <c r="A3" s="25">
        <v>1</v>
      </c>
      <c r="B3" s="6" t="s">
        <v>290</v>
      </c>
      <c r="C3" s="3" t="s">
        <v>26</v>
      </c>
      <c r="D3" s="98">
        <v>138278689</v>
      </c>
      <c r="E3" s="9">
        <v>0</v>
      </c>
      <c r="F3" s="78">
        <f>D3+G3</f>
        <v>138278689</v>
      </c>
      <c r="H3" s="61"/>
      <c r="I3" s="61" t="s">
        <v>242</v>
      </c>
      <c r="J3" s="61">
        <f ca="1">SUMIF($M$2:$P$31,I3,$P$2:$P$31)</f>
        <v>77255000</v>
      </c>
      <c r="K3" s="61" t="s">
        <v>243</v>
      </c>
      <c r="L3" s="61"/>
      <c r="M3" t="s">
        <v>247</v>
      </c>
      <c r="N3" t="s">
        <v>245</v>
      </c>
      <c r="O3">
        <v>303000</v>
      </c>
      <c r="P3" s="120">
        <v>15600</v>
      </c>
      <c r="Q3" s="118"/>
      <c r="W3" s="61"/>
      <c r="X3" s="61"/>
    </row>
    <row r="4" spans="1:24">
      <c r="A4" s="25">
        <v>2</v>
      </c>
      <c r="B4" s="6" t="s">
        <v>172</v>
      </c>
      <c r="C4" s="3" t="s">
        <v>27</v>
      </c>
      <c r="D4" s="98">
        <v>131334111</v>
      </c>
      <c r="E4" s="9">
        <v>0</v>
      </c>
      <c r="F4" s="78">
        <f t="shared" ref="F4:F5" si="0">D4+G4</f>
        <v>131334111</v>
      </c>
      <c r="H4" s="61"/>
      <c r="I4" s="61" t="s">
        <v>246</v>
      </c>
      <c r="J4" s="61">
        <f ca="1">SUMIF($M$2:$P$31,I4,$P$2:$P$31)</f>
        <v>0</v>
      </c>
      <c r="K4" s="61" t="s">
        <v>243</v>
      </c>
      <c r="L4" s="61"/>
      <c r="M4" t="s">
        <v>248</v>
      </c>
      <c r="N4" t="s">
        <v>245</v>
      </c>
      <c r="O4">
        <v>320000</v>
      </c>
      <c r="P4" s="120">
        <v>-40311800</v>
      </c>
      <c r="Q4" s="118"/>
      <c r="W4" s="61"/>
      <c r="X4" s="61"/>
    </row>
    <row r="5" spans="1:24">
      <c r="A5" s="25">
        <v>3</v>
      </c>
      <c r="B5" s="6" t="s">
        <v>173</v>
      </c>
      <c r="C5" s="3" t="s">
        <v>28</v>
      </c>
      <c r="D5" s="98">
        <v>0</v>
      </c>
      <c r="E5" s="9">
        <v>0</v>
      </c>
      <c r="F5" s="78">
        <f t="shared" si="0"/>
        <v>0</v>
      </c>
      <c r="H5" s="61"/>
      <c r="I5" s="61"/>
      <c r="J5" s="61">
        <f ca="1">SUMIF($M$2:$P$31,I5,$P$2:$P$31)</f>
        <v>0</v>
      </c>
      <c r="K5" s="61"/>
      <c r="L5" s="61"/>
      <c r="M5" t="s">
        <v>249</v>
      </c>
      <c r="N5" t="s">
        <v>245</v>
      </c>
      <c r="O5">
        <v>323000</v>
      </c>
      <c r="P5" s="120">
        <v>-321008</v>
      </c>
      <c r="Q5" s="118"/>
      <c r="W5" s="61"/>
      <c r="X5" s="61"/>
    </row>
    <row r="6" spans="1:24">
      <c r="A6" s="25" t="s">
        <v>150</v>
      </c>
      <c r="B6" s="5" t="s">
        <v>174</v>
      </c>
      <c r="C6" s="3" t="s">
        <v>29</v>
      </c>
      <c r="D6" s="99">
        <f ca="1">D7+D8+D9+D10+D11+D12+D13+D14</f>
        <v>119963532</v>
      </c>
      <c r="E6" s="16">
        <v>0</v>
      </c>
      <c r="F6" s="77">
        <f ca="1">F7+F8+F9+F10+F11+F12+F13+F14</f>
        <v>119963532</v>
      </c>
      <c r="H6" s="61"/>
      <c r="I6" s="61"/>
      <c r="J6" s="61">
        <f ca="1">SUMIF($M$2:$P$31,I6,$P$2:$P$31)</f>
        <v>0</v>
      </c>
      <c r="K6" s="61"/>
      <c r="L6" s="61"/>
      <c r="M6" s="119" t="s">
        <v>251</v>
      </c>
      <c r="N6" s="119" t="s">
        <v>252</v>
      </c>
      <c r="O6" s="119">
        <v>360110</v>
      </c>
      <c r="P6" s="118">
        <v>76646296600</v>
      </c>
      <c r="Q6" s="118"/>
      <c r="W6" s="61"/>
      <c r="X6" s="61"/>
    </row>
    <row r="7" spans="1:24">
      <c r="A7" s="25">
        <v>1</v>
      </c>
      <c r="B7" s="6" t="s">
        <v>176</v>
      </c>
      <c r="C7" s="3" t="s">
        <v>30</v>
      </c>
      <c r="D7" s="98">
        <v>15928341</v>
      </c>
      <c r="E7" s="9">
        <v>0</v>
      </c>
      <c r="F7" s="78">
        <f>D7+G7</f>
        <v>15928341</v>
      </c>
      <c r="H7" s="61"/>
      <c r="I7" s="61" t="s">
        <v>250</v>
      </c>
      <c r="J7" s="61">
        <f t="shared" ref="J7:J23" ca="1" si="1">ABS(SUMIF($M$2:$P$31,I7,$P$2:$P$31))</f>
        <v>63308370</v>
      </c>
      <c r="K7" s="61"/>
      <c r="L7" s="61"/>
      <c r="M7" s="119" t="s">
        <v>254</v>
      </c>
      <c r="N7" s="119" t="s">
        <v>252</v>
      </c>
      <c r="O7" s="119">
        <v>360150</v>
      </c>
      <c r="P7" s="118">
        <v>-61044502</v>
      </c>
      <c r="Q7" s="118"/>
      <c r="W7" s="61"/>
      <c r="X7" s="61"/>
    </row>
    <row r="8" spans="1:24">
      <c r="A8" s="25">
        <v>2</v>
      </c>
      <c r="B8" s="6" t="s">
        <v>175</v>
      </c>
      <c r="C8" s="3" t="s">
        <v>31</v>
      </c>
      <c r="D8" s="98">
        <f>20500000+269733</f>
        <v>20769733</v>
      </c>
      <c r="E8" s="9">
        <v>0</v>
      </c>
      <c r="F8" s="78">
        <f t="shared" ref="F8:F13" si="2">D8+G8</f>
        <v>20769733</v>
      </c>
      <c r="H8" s="61"/>
      <c r="I8" s="61" t="s">
        <v>253</v>
      </c>
      <c r="J8" s="61">
        <f t="shared" ca="1" si="1"/>
        <v>16000000</v>
      </c>
      <c r="K8" s="61"/>
      <c r="L8" s="61"/>
      <c r="M8" s="119" t="s">
        <v>256</v>
      </c>
      <c r="N8" s="119" t="s">
        <v>257</v>
      </c>
      <c r="O8" s="119">
        <v>500100</v>
      </c>
      <c r="P8" s="118">
        <v>297846216</v>
      </c>
      <c r="Q8" s="118"/>
      <c r="W8" s="61"/>
      <c r="X8" s="61"/>
    </row>
    <row r="9" spans="1:24" ht="31.5">
      <c r="A9" s="25">
        <v>3</v>
      </c>
      <c r="B9" s="6" t="s">
        <v>177</v>
      </c>
      <c r="C9" s="3" t="s">
        <v>32</v>
      </c>
      <c r="D9" s="98">
        <v>11000000</v>
      </c>
      <c r="E9" s="9">
        <v>0</v>
      </c>
      <c r="F9" s="78">
        <f t="shared" si="2"/>
        <v>11000000</v>
      </c>
      <c r="H9" s="61"/>
      <c r="I9" s="61" t="s">
        <v>255</v>
      </c>
      <c r="J9" s="61">
        <f t="shared" ca="1" si="1"/>
        <v>965539</v>
      </c>
      <c r="K9" s="61"/>
      <c r="L9" s="61"/>
      <c r="M9" s="119" t="s">
        <v>259</v>
      </c>
      <c r="N9" s="119" t="s">
        <v>257</v>
      </c>
      <c r="O9" s="119">
        <v>500200</v>
      </c>
      <c r="P9" s="118">
        <v>-455309716</v>
      </c>
      <c r="Q9" s="118"/>
      <c r="W9" s="61"/>
      <c r="X9" s="61"/>
    </row>
    <row r="10" spans="1:24">
      <c r="A10" s="25">
        <v>4</v>
      </c>
      <c r="B10" s="6" t="s">
        <v>178</v>
      </c>
      <c r="C10" s="3" t="s">
        <v>33</v>
      </c>
      <c r="D10" s="126">
        <v>0</v>
      </c>
      <c r="E10" s="9">
        <v>0</v>
      </c>
      <c r="F10" s="78">
        <f>D10+G10</f>
        <v>0</v>
      </c>
      <c r="H10" s="61"/>
      <c r="I10" s="61" t="s">
        <v>258</v>
      </c>
      <c r="J10" s="61">
        <f t="shared" ca="1" si="1"/>
        <v>2100000</v>
      </c>
      <c r="K10" s="61"/>
      <c r="L10" s="61"/>
      <c r="M10" t="s">
        <v>261</v>
      </c>
      <c r="N10" t="s">
        <v>262</v>
      </c>
      <c r="O10">
        <v>510100</v>
      </c>
      <c r="P10" s="120">
        <v>2588475582</v>
      </c>
      <c r="Q10" s="118"/>
      <c r="W10" s="61"/>
      <c r="X10" s="61"/>
    </row>
    <row r="11" spans="1:24" ht="21">
      <c r="A11" s="25">
        <v>5</v>
      </c>
      <c r="B11" s="6" t="s">
        <v>179</v>
      </c>
      <c r="C11" s="3" t="s">
        <v>34</v>
      </c>
      <c r="D11" s="126">
        <v>3387096</v>
      </c>
      <c r="E11" s="9">
        <v>0</v>
      </c>
      <c r="F11" s="78">
        <f>D11+G11</f>
        <v>3387096</v>
      </c>
      <c r="H11" s="61"/>
      <c r="I11" s="61" t="s">
        <v>260</v>
      </c>
      <c r="J11" s="61">
        <f t="shared" ca="1" si="1"/>
        <v>500002</v>
      </c>
      <c r="K11" s="61"/>
      <c r="L11" s="61"/>
      <c r="M11" t="s">
        <v>264</v>
      </c>
      <c r="N11" t="s">
        <v>265</v>
      </c>
      <c r="O11">
        <v>520100</v>
      </c>
      <c r="P11" s="120">
        <v>-526356082</v>
      </c>
      <c r="Q11" s="118"/>
      <c r="W11" s="61"/>
      <c r="X11" s="61"/>
    </row>
    <row r="12" spans="1:24" ht="52.5">
      <c r="A12" s="25">
        <v>6</v>
      </c>
      <c r="B12" s="6" t="s">
        <v>180</v>
      </c>
      <c r="C12" s="3" t="s">
        <v>35</v>
      </c>
      <c r="D12" s="98">
        <f ca="1">J21</f>
        <v>0</v>
      </c>
      <c r="E12" s="9">
        <v>0</v>
      </c>
      <c r="F12" s="78">
        <f t="shared" ca="1" si="2"/>
        <v>0</v>
      </c>
      <c r="H12" s="61"/>
      <c r="I12" s="61" t="s">
        <v>263</v>
      </c>
      <c r="J12" s="61">
        <f t="shared" ca="1" si="1"/>
        <v>5000002</v>
      </c>
      <c r="K12" s="61"/>
      <c r="L12" s="61"/>
      <c r="M12" s="119" t="s">
        <v>267</v>
      </c>
      <c r="N12" s="119" t="s">
        <v>268</v>
      </c>
      <c r="O12" s="119">
        <v>600200</v>
      </c>
      <c r="P12" s="118">
        <v>1358795346</v>
      </c>
      <c r="Q12" s="118"/>
      <c r="W12" s="61"/>
      <c r="X12" s="61"/>
    </row>
    <row r="13" spans="1:24">
      <c r="A13" s="25">
        <v>7</v>
      </c>
      <c r="B13" s="6" t="s">
        <v>181</v>
      </c>
      <c r="C13" s="3" t="s">
        <v>36</v>
      </c>
      <c r="D13" s="98">
        <v>38287614</v>
      </c>
      <c r="E13" s="9">
        <v>0</v>
      </c>
      <c r="F13" s="78">
        <f t="shared" si="2"/>
        <v>38287614</v>
      </c>
      <c r="H13" s="61"/>
      <c r="I13" s="61" t="s">
        <v>266</v>
      </c>
      <c r="J13" s="61">
        <f t="shared" ca="1" si="1"/>
        <v>9000000</v>
      </c>
      <c r="K13" s="61"/>
      <c r="L13" s="61"/>
      <c r="M13" t="s">
        <v>242</v>
      </c>
      <c r="N13" t="s">
        <v>270</v>
      </c>
      <c r="O13">
        <v>643100</v>
      </c>
      <c r="P13" s="120">
        <v>77255000</v>
      </c>
      <c r="Q13" s="118"/>
      <c r="W13" s="61"/>
      <c r="X13" s="61"/>
    </row>
    <row r="14" spans="1:24">
      <c r="A14" s="25">
        <v>8</v>
      </c>
      <c r="B14" s="6" t="s">
        <v>182</v>
      </c>
      <c r="C14" s="3" t="s">
        <v>37</v>
      </c>
      <c r="D14" s="98">
        <f>SUM(D15:D16)</f>
        <v>30590748</v>
      </c>
      <c r="E14" s="9">
        <v>0</v>
      </c>
      <c r="F14" s="78">
        <f>SUM(F15:F16)</f>
        <v>30590748</v>
      </c>
      <c r="H14" s="61"/>
      <c r="I14" s="61" t="s">
        <v>269</v>
      </c>
      <c r="J14" s="61">
        <f t="shared" ca="1" si="1"/>
        <v>899999</v>
      </c>
      <c r="K14" s="61"/>
      <c r="L14" s="61"/>
      <c r="M14" t="s">
        <v>282</v>
      </c>
      <c r="N14" t="s">
        <v>280</v>
      </c>
      <c r="O14">
        <v>650000</v>
      </c>
      <c r="P14" s="120">
        <v>0</v>
      </c>
      <c r="Q14" s="118"/>
      <c r="W14" s="61"/>
      <c r="X14" s="61"/>
    </row>
    <row r="15" spans="1:24">
      <c r="A15" s="25"/>
      <c r="B15" s="7" t="s">
        <v>222</v>
      </c>
      <c r="C15" s="3" t="s">
        <v>170</v>
      </c>
      <c r="D15" s="98">
        <v>2530000</v>
      </c>
      <c r="E15" s="9">
        <v>0</v>
      </c>
      <c r="F15" s="71">
        <f>D15+G15</f>
        <v>2530000</v>
      </c>
      <c r="H15" s="61"/>
      <c r="I15" s="61" t="s">
        <v>271</v>
      </c>
      <c r="J15" s="61">
        <f t="shared" ca="1" si="1"/>
        <v>1000001</v>
      </c>
      <c r="K15" s="61"/>
      <c r="L15" s="61"/>
      <c r="M15" t="s">
        <v>283</v>
      </c>
      <c r="N15" t="s">
        <v>281</v>
      </c>
      <c r="O15">
        <v>679000</v>
      </c>
      <c r="P15" s="120">
        <v>194540</v>
      </c>
      <c r="Q15" s="118"/>
      <c r="W15" s="61"/>
      <c r="X15" s="61"/>
    </row>
    <row r="16" spans="1:24">
      <c r="A16" s="25"/>
      <c r="B16" s="7" t="s">
        <v>291</v>
      </c>
      <c r="C16" s="3" t="s">
        <v>214</v>
      </c>
      <c r="D16" s="98">
        <v>28060748</v>
      </c>
      <c r="E16" s="9">
        <v>0</v>
      </c>
      <c r="F16" s="127">
        <f>+D16+G16</f>
        <v>28060748</v>
      </c>
      <c r="H16" s="61"/>
      <c r="I16" s="61" t="s">
        <v>272</v>
      </c>
      <c r="J16" s="61">
        <f t="shared" ca="1" si="1"/>
        <v>0</v>
      </c>
      <c r="K16" s="61"/>
      <c r="L16" s="61"/>
      <c r="M16" t="s">
        <v>250</v>
      </c>
      <c r="N16" t="s">
        <v>273</v>
      </c>
      <c r="O16">
        <v>770200</v>
      </c>
      <c r="P16" s="120">
        <v>-63308370</v>
      </c>
      <c r="Q16" s="118"/>
      <c r="W16" s="61"/>
      <c r="X16" s="61"/>
    </row>
    <row r="17" spans="1:24">
      <c r="A17" s="25" t="s">
        <v>128</v>
      </c>
      <c r="B17" s="5" t="s">
        <v>183</v>
      </c>
      <c r="C17" s="3" t="s">
        <v>38</v>
      </c>
      <c r="D17" s="112">
        <f ca="1">D2-D6</f>
        <v>149649268</v>
      </c>
      <c r="E17" s="113">
        <v>0</v>
      </c>
      <c r="F17" s="114">
        <f ca="1">F2-F6</f>
        <v>149649268</v>
      </c>
      <c r="H17" s="61"/>
      <c r="I17" s="61" t="s">
        <v>274</v>
      </c>
      <c r="J17" s="61">
        <f t="shared" ca="1" si="1"/>
        <v>9999997</v>
      </c>
      <c r="K17" s="61"/>
      <c r="L17" s="61"/>
      <c r="M17" t="s">
        <v>266</v>
      </c>
      <c r="N17" t="s">
        <v>273</v>
      </c>
      <c r="O17">
        <v>771001</v>
      </c>
      <c r="P17" s="120">
        <v>-9000000</v>
      </c>
      <c r="Q17" s="118"/>
      <c r="R17" s="61"/>
      <c r="W17" s="61"/>
      <c r="X17" s="61"/>
    </row>
    <row r="18" spans="1:24">
      <c r="A18" s="25" t="s">
        <v>165</v>
      </c>
      <c r="B18" s="5" t="s">
        <v>184</v>
      </c>
      <c r="C18" s="3" t="s">
        <v>39</v>
      </c>
      <c r="D18" s="112">
        <f>D19+D20</f>
        <v>765870418</v>
      </c>
      <c r="E18" s="113">
        <v>0</v>
      </c>
      <c r="F18" s="114">
        <f>F19+F20</f>
        <v>765870418</v>
      </c>
      <c r="H18" s="61"/>
      <c r="I18" t="s">
        <v>284</v>
      </c>
      <c r="J18" s="61">
        <f t="shared" ca="1" si="1"/>
        <v>1100000</v>
      </c>
      <c r="K18" s="61"/>
      <c r="L18" s="61"/>
      <c r="M18"/>
      <c r="N18"/>
      <c r="O18"/>
      <c r="P18" s="120">
        <v>0</v>
      </c>
      <c r="Q18" s="118"/>
      <c r="W18" s="61"/>
      <c r="X18" s="61"/>
    </row>
    <row r="19" spans="1:24">
      <c r="A19" s="25">
        <v>1</v>
      </c>
      <c r="B19" s="6" t="s">
        <v>185</v>
      </c>
      <c r="C19" s="3" t="s">
        <v>40</v>
      </c>
      <c r="D19" s="115">
        <v>0</v>
      </c>
      <c r="E19" s="116">
        <v>0</v>
      </c>
      <c r="F19" s="116">
        <f t="shared" ref="F19:F20" si="3">D19+G19</f>
        <v>0</v>
      </c>
      <c r="H19" s="61"/>
      <c r="I19" s="61" t="s">
        <v>275</v>
      </c>
      <c r="J19" s="61">
        <f t="shared" ca="1" si="1"/>
        <v>0</v>
      </c>
      <c r="K19" s="61"/>
      <c r="L19" s="61"/>
      <c r="M19" t="s">
        <v>253</v>
      </c>
      <c r="N19" t="s">
        <v>273</v>
      </c>
      <c r="O19">
        <v>771100</v>
      </c>
      <c r="P19" s="120">
        <v>-16000000</v>
      </c>
      <c r="Q19" s="118"/>
      <c r="W19" s="61"/>
      <c r="X19" s="61"/>
    </row>
    <row r="20" spans="1:24">
      <c r="A20" s="25">
        <v>2</v>
      </c>
      <c r="B20" s="6" t="s">
        <v>186</v>
      </c>
      <c r="C20" s="3" t="s">
        <v>41</v>
      </c>
      <c r="D20" s="115">
        <v>765870418</v>
      </c>
      <c r="E20" s="116">
        <v>0</v>
      </c>
      <c r="F20" s="116">
        <f t="shared" si="3"/>
        <v>765870418</v>
      </c>
      <c r="H20" s="61"/>
      <c r="I20" s="61" t="s">
        <v>276</v>
      </c>
      <c r="J20" s="61">
        <f t="shared" ca="1" si="1"/>
        <v>6999999</v>
      </c>
      <c r="K20" s="61"/>
      <c r="L20" s="61"/>
      <c r="M20" t="s">
        <v>255</v>
      </c>
      <c r="N20" t="s">
        <v>273</v>
      </c>
      <c r="O20">
        <v>771101</v>
      </c>
      <c r="P20" s="120">
        <v>-965539</v>
      </c>
      <c r="Q20" s="118"/>
      <c r="W20" s="61"/>
      <c r="X20" s="61"/>
    </row>
    <row r="21" spans="1:24" ht="21">
      <c r="A21" s="25" t="s">
        <v>166</v>
      </c>
      <c r="B21" s="5" t="s">
        <v>187</v>
      </c>
      <c r="C21" s="3" t="s">
        <v>42</v>
      </c>
      <c r="D21" s="112">
        <f ca="1">D17+D18</f>
        <v>915519686</v>
      </c>
      <c r="E21" s="113">
        <v>0</v>
      </c>
      <c r="F21" s="114">
        <f ca="1">F17+F18</f>
        <v>915519686</v>
      </c>
      <c r="H21" s="61"/>
      <c r="I21" s="61" t="s">
        <v>277</v>
      </c>
      <c r="J21" s="61">
        <f t="shared" ca="1" si="1"/>
        <v>0</v>
      </c>
      <c r="K21" s="61"/>
      <c r="L21" s="61"/>
      <c r="M21" t="s">
        <v>278</v>
      </c>
      <c r="N21" t="s">
        <v>273</v>
      </c>
      <c r="O21">
        <v>773100</v>
      </c>
      <c r="P21" s="120">
        <v>-16554788</v>
      </c>
      <c r="Q21" s="118"/>
      <c r="W21" s="61"/>
      <c r="X21" s="61"/>
    </row>
    <row r="22" spans="1:24">
      <c r="A22" s="25" t="s">
        <v>167</v>
      </c>
      <c r="B22" s="5" t="s">
        <v>188</v>
      </c>
      <c r="C22" s="3" t="s">
        <v>43</v>
      </c>
      <c r="D22" s="112">
        <f>E29</f>
        <v>0</v>
      </c>
      <c r="E22" s="113">
        <v>0</v>
      </c>
      <c r="F22" s="114">
        <v>0</v>
      </c>
      <c r="H22" s="61"/>
      <c r="I22" s="61" t="s">
        <v>278</v>
      </c>
      <c r="J22" s="61">
        <f t="shared" ca="1" si="1"/>
        <v>16554788</v>
      </c>
      <c r="K22" s="61"/>
      <c r="L22" s="61"/>
      <c r="M22" t="s">
        <v>279</v>
      </c>
      <c r="N22" t="s">
        <v>273</v>
      </c>
      <c r="O22">
        <v>773170</v>
      </c>
      <c r="P22" s="120">
        <v>-1056000</v>
      </c>
      <c r="Q22" s="118"/>
      <c r="W22" s="61"/>
      <c r="X22" s="61"/>
    </row>
    <row r="23" spans="1:24">
      <c r="A23" s="25" t="s">
        <v>133</v>
      </c>
      <c r="B23" s="5" t="s">
        <v>189</v>
      </c>
      <c r="C23" s="3" t="s">
        <v>44</v>
      </c>
      <c r="D23" s="112">
        <f ca="1">D25+D26+D27+D28</f>
        <v>77772516686</v>
      </c>
      <c r="E23" s="113">
        <v>0</v>
      </c>
      <c r="F23" s="114">
        <f ca="1">F25+F26+F27+F28</f>
        <v>77772516686</v>
      </c>
      <c r="H23" s="61"/>
      <c r="I23" s="61" t="s">
        <v>279</v>
      </c>
      <c r="J23" s="61">
        <f t="shared" ca="1" si="1"/>
        <v>1056000</v>
      </c>
      <c r="K23" s="61" t="s">
        <v>243</v>
      </c>
      <c r="L23" s="61"/>
      <c r="M23" t="s">
        <v>260</v>
      </c>
      <c r="N23" t="s">
        <v>273</v>
      </c>
      <c r="O23">
        <v>773741</v>
      </c>
      <c r="P23" s="120">
        <v>-500002</v>
      </c>
      <c r="Q23" s="118"/>
      <c r="W23" s="61"/>
      <c r="X23" s="61"/>
    </row>
    <row r="24" spans="1:24">
      <c r="A24" s="25"/>
      <c r="B24" s="6" t="s">
        <v>45</v>
      </c>
      <c r="C24" s="3" t="s">
        <v>46</v>
      </c>
      <c r="D24" s="104"/>
      <c r="E24" s="73">
        <v>0</v>
      </c>
      <c r="F24" s="103">
        <v>0</v>
      </c>
      <c r="H24" s="61"/>
      <c r="I24" s="61" t="s">
        <v>264</v>
      </c>
      <c r="J24" s="61">
        <f t="shared" ref="J24:J29" ca="1" si="4">SUMIF($M$2:$P$31,I24,$P$2:$P$31)</f>
        <v>-526356082</v>
      </c>
      <c r="K24" s="61" t="s">
        <v>243</v>
      </c>
      <c r="L24" s="61"/>
      <c r="M24" t="s">
        <v>269</v>
      </c>
      <c r="N24" t="s">
        <v>273</v>
      </c>
      <c r="O24">
        <v>773745</v>
      </c>
      <c r="P24" s="120">
        <v>-899999</v>
      </c>
      <c r="Q24" s="118"/>
      <c r="W24" s="61"/>
      <c r="X24" s="61"/>
    </row>
    <row r="25" spans="1:24" ht="26.25" customHeight="1">
      <c r="A25" s="25">
        <v>1</v>
      </c>
      <c r="B25" s="6" t="s">
        <v>190</v>
      </c>
      <c r="C25" s="3" t="s">
        <v>229</v>
      </c>
      <c r="D25" s="115">
        <f ca="1">D21</f>
        <v>915519686</v>
      </c>
      <c r="E25" s="115">
        <v>0</v>
      </c>
      <c r="F25" s="115">
        <f ca="1">F21</f>
        <v>915519686</v>
      </c>
      <c r="H25" s="61"/>
      <c r="I25" s="61" t="s">
        <v>261</v>
      </c>
      <c r="J25" s="61">
        <f t="shared" ca="1" si="4"/>
        <v>2588475582</v>
      </c>
      <c r="K25" s="61" t="s">
        <v>243</v>
      </c>
      <c r="L25" s="61"/>
      <c r="M25" t="s">
        <v>271</v>
      </c>
      <c r="N25" t="s">
        <v>273</v>
      </c>
      <c r="O25">
        <v>773746</v>
      </c>
      <c r="P25" s="120">
        <v>-1000001</v>
      </c>
      <c r="Q25" s="118"/>
      <c r="W25" s="61"/>
      <c r="X25" s="61"/>
    </row>
    <row r="26" spans="1:24" ht="26.25" customHeight="1">
      <c r="A26" s="25">
        <v>2</v>
      </c>
      <c r="B26" s="6" t="s">
        <v>230</v>
      </c>
      <c r="C26" s="3" t="s">
        <v>231</v>
      </c>
      <c r="D26" s="115">
        <v>0</v>
      </c>
      <c r="E26" s="115">
        <v>0</v>
      </c>
      <c r="F26" s="115">
        <v>0</v>
      </c>
      <c r="H26" s="61"/>
      <c r="I26" s="61" t="s">
        <v>244</v>
      </c>
      <c r="J26" s="61">
        <f t="shared" ca="1" si="4"/>
        <v>979400</v>
      </c>
      <c r="K26" s="61" t="s">
        <v>243</v>
      </c>
      <c r="L26" s="61"/>
      <c r="M26" t="s">
        <v>263</v>
      </c>
      <c r="N26" t="s">
        <v>273</v>
      </c>
      <c r="O26">
        <v>773770</v>
      </c>
      <c r="P26" s="120">
        <v>-5000002</v>
      </c>
      <c r="Q26" s="118"/>
      <c r="W26" s="61"/>
      <c r="X26" s="61"/>
    </row>
    <row r="27" spans="1:24" ht="21">
      <c r="A27" s="25">
        <v>3</v>
      </c>
      <c r="B27" s="6" t="s">
        <v>232</v>
      </c>
      <c r="C27" s="3" t="s">
        <v>233</v>
      </c>
      <c r="D27" s="115">
        <f>76856000000+997000</f>
        <v>76856997000</v>
      </c>
      <c r="E27" s="115">
        <v>0</v>
      </c>
      <c r="F27" s="115">
        <f>D27+G27</f>
        <v>76856997000</v>
      </c>
      <c r="H27" s="61"/>
      <c r="I27" s="61" t="s">
        <v>247</v>
      </c>
      <c r="J27" s="61">
        <f t="shared" ca="1" si="4"/>
        <v>15600</v>
      </c>
      <c r="K27" s="61" t="s">
        <v>243</v>
      </c>
      <c r="L27" s="61"/>
      <c r="M27" t="s">
        <v>258</v>
      </c>
      <c r="N27" t="s">
        <v>273</v>
      </c>
      <c r="O27">
        <v>773940</v>
      </c>
      <c r="P27" s="120">
        <v>-2100000</v>
      </c>
      <c r="Q27" s="118"/>
      <c r="W27" s="61"/>
      <c r="X27" s="61"/>
    </row>
    <row r="28" spans="1:24">
      <c r="A28" s="25">
        <v>4</v>
      </c>
      <c r="B28" s="6" t="s">
        <v>234</v>
      </c>
      <c r="C28" s="3" t="s">
        <v>235</v>
      </c>
      <c r="D28" s="115">
        <v>0</v>
      </c>
      <c r="E28" s="115">
        <v>0</v>
      </c>
      <c r="F28" s="115">
        <f>D28+G28</f>
        <v>0</v>
      </c>
      <c r="H28" s="61"/>
      <c r="I28" s="61" t="s">
        <v>248</v>
      </c>
      <c r="J28" s="61">
        <f t="shared" ca="1" si="4"/>
        <v>-40311800</v>
      </c>
      <c r="K28" s="61" t="s">
        <v>243</v>
      </c>
      <c r="L28" s="61"/>
      <c r="M28" t="s">
        <v>276</v>
      </c>
      <c r="N28" t="s">
        <v>273</v>
      </c>
      <c r="O28">
        <v>773990</v>
      </c>
      <c r="P28" s="120">
        <v>-6999999</v>
      </c>
      <c r="Q28" s="118"/>
      <c r="W28" s="61"/>
      <c r="X28" s="61"/>
    </row>
    <row r="29" spans="1:24">
      <c r="A29" s="25" t="s">
        <v>168</v>
      </c>
      <c r="B29" s="5" t="s">
        <v>191</v>
      </c>
      <c r="C29" s="3" t="s">
        <v>47</v>
      </c>
      <c r="D29" s="105">
        <f ca="1">D22+D23</f>
        <v>77772516686</v>
      </c>
      <c r="E29" s="102">
        <v>0</v>
      </c>
      <c r="F29" s="128">
        <f ca="1">F22+F23</f>
        <v>77772516686</v>
      </c>
      <c r="H29" s="61"/>
      <c r="I29" s="61" t="s">
        <v>249</v>
      </c>
      <c r="J29" s="61">
        <f t="shared" ca="1" si="4"/>
        <v>-321008</v>
      </c>
      <c r="K29" s="61"/>
      <c r="L29" s="61"/>
      <c r="M29"/>
      <c r="N29"/>
      <c r="O29"/>
      <c r="P29" s="120">
        <v>0</v>
      </c>
      <c r="Q29" s="118"/>
      <c r="W29" s="61"/>
      <c r="X29" s="61"/>
    </row>
    <row r="30" spans="1:24" ht="21">
      <c r="A30" s="25" t="s">
        <v>169</v>
      </c>
      <c r="B30" s="5" t="s">
        <v>192</v>
      </c>
      <c r="C30" s="3" t="s">
        <v>48</v>
      </c>
      <c r="D30" s="98"/>
      <c r="E30" s="9"/>
      <c r="F30" s="78">
        <v>0</v>
      </c>
      <c r="H30" s="61"/>
      <c r="I30" s="61">
        <v>0</v>
      </c>
      <c r="J30" s="61"/>
      <c r="K30" s="61"/>
      <c r="L30" s="61"/>
      <c r="M30" t="s">
        <v>274</v>
      </c>
      <c r="N30" t="s">
        <v>273</v>
      </c>
      <c r="O30">
        <v>774240</v>
      </c>
      <c r="P30" s="120">
        <v>-9999997</v>
      </c>
      <c r="Q30" s="118"/>
      <c r="W30" s="61"/>
      <c r="X30" s="61"/>
    </row>
    <row r="31" spans="1:24" ht="21">
      <c r="A31" s="25"/>
      <c r="B31" s="6" t="s">
        <v>49</v>
      </c>
      <c r="C31" s="3" t="s">
        <v>50</v>
      </c>
      <c r="D31" s="106"/>
      <c r="E31" s="11"/>
      <c r="F31" s="78">
        <v>0</v>
      </c>
      <c r="H31" s="61"/>
      <c r="I31" s="61"/>
      <c r="J31" s="61"/>
      <c r="K31" s="61"/>
      <c r="L31" s="61"/>
      <c r="M31" t="s">
        <v>284</v>
      </c>
      <c r="N31" t="s">
        <v>273</v>
      </c>
      <c r="O31">
        <v>774320</v>
      </c>
      <c r="P31" s="120">
        <v>-1100000</v>
      </c>
      <c r="Q31" s="118"/>
      <c r="W31" s="61"/>
      <c r="X31" s="61"/>
    </row>
    <row r="32" spans="1:24">
      <c r="A32" s="28"/>
      <c r="B32" s="28"/>
      <c r="C32" s="13"/>
      <c r="D32" s="83"/>
      <c r="E32" s="29"/>
      <c r="F32" s="76"/>
      <c r="H32" s="61"/>
      <c r="I32" s="61"/>
      <c r="J32" s="61"/>
      <c r="K32" s="61"/>
      <c r="L32" s="61"/>
      <c r="W32" s="61"/>
      <c r="X32" s="61"/>
    </row>
    <row r="33" spans="4:24">
      <c r="D33" s="124">
        <f ca="1">D29-BCTaiSan_06027!D26</f>
        <v>0</v>
      </c>
      <c r="E33" s="31">
        <v>0</v>
      </c>
      <c r="F33" s="79">
        <f ca="1">F29-D29</f>
        <v>0</v>
      </c>
      <c r="H33" s="61"/>
      <c r="I33" s="61"/>
      <c r="J33" s="61"/>
      <c r="K33" s="61"/>
      <c r="L33" s="61"/>
      <c r="W33" s="61"/>
      <c r="X33" s="61"/>
    </row>
    <row r="34" spans="4:24">
      <c r="H34" s="61"/>
      <c r="I34" s="61"/>
      <c r="J34" s="61"/>
      <c r="K34" s="61"/>
      <c r="L34" s="61"/>
      <c r="X34" s="61"/>
    </row>
    <row r="35" spans="4:24">
      <c r="H35" s="61"/>
      <c r="I35" s="61"/>
      <c r="J35" s="61"/>
      <c r="K35" s="61"/>
      <c r="L35" s="61"/>
    </row>
    <row r="36" spans="4:24">
      <c r="I36" s="61"/>
    </row>
  </sheetData>
  <pageMargins left="0.17" right="0.17" top="0.75" bottom="0.75" header="0.3" footer="0.3"/>
  <pageSetup paperSize="9" scale="84"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O44"/>
  <sheetViews>
    <sheetView topLeftCell="A7" workbookViewId="0">
      <selection activeCell="C42" sqref="C42"/>
    </sheetView>
  </sheetViews>
  <sheetFormatPr defaultColWidth="9.140625" defaultRowHeight="15"/>
  <cols>
    <col min="1" max="1" width="4.5703125" style="14" customWidth="1"/>
    <col min="2" max="2" width="21.140625" style="14" customWidth="1"/>
    <col min="3" max="3" width="9.28515625" style="14" bestFit="1" customWidth="1"/>
    <col min="4" max="4" width="16.28515625" style="14" bestFit="1" customWidth="1"/>
    <col min="5" max="5" width="13.42578125" style="14" bestFit="1" customWidth="1"/>
    <col min="6" max="6" width="18.140625" style="14" bestFit="1" customWidth="1"/>
    <col min="7" max="7" width="14.7109375" style="14" customWidth="1"/>
    <col min="8" max="8" width="19" style="14" customWidth="1"/>
    <col min="9" max="9" width="9.140625" style="14"/>
    <col min="10" max="10" width="12.140625" style="14" bestFit="1" customWidth="1"/>
    <col min="11" max="11" width="16.42578125" style="14" bestFit="1" customWidth="1"/>
    <col min="12" max="12" width="16.28515625" style="14" bestFit="1" customWidth="1"/>
    <col min="13" max="16384" width="9.140625" style="14"/>
  </cols>
  <sheetData>
    <row r="1" spans="1:15" ht="48.75" customHeight="1">
      <c r="A1" s="13" t="s">
        <v>51</v>
      </c>
      <c r="B1" s="13" t="s">
        <v>121</v>
      </c>
      <c r="C1" s="13" t="s">
        <v>117</v>
      </c>
      <c r="D1" s="13" t="s">
        <v>101</v>
      </c>
      <c r="E1" s="13" t="s">
        <v>122</v>
      </c>
      <c r="F1" s="13" t="s">
        <v>123</v>
      </c>
      <c r="G1" s="13" t="s">
        <v>136</v>
      </c>
    </row>
    <row r="2" spans="1:15" s="22" customFormat="1">
      <c r="A2" s="18" t="s">
        <v>124</v>
      </c>
      <c r="B2" s="18" t="s">
        <v>52</v>
      </c>
      <c r="C2" s="18">
        <v>2246</v>
      </c>
      <c r="D2" s="19"/>
      <c r="E2" s="19"/>
      <c r="F2" s="19"/>
      <c r="G2" s="23"/>
    </row>
    <row r="3" spans="1:15">
      <c r="A3" s="2">
        <v>1</v>
      </c>
      <c r="B3" s="2"/>
      <c r="C3" s="2">
        <v>2246.1</v>
      </c>
      <c r="D3" s="10"/>
      <c r="E3" s="10">
        <v>0</v>
      </c>
      <c r="F3" s="10">
        <f>D3*E3</f>
        <v>0</v>
      </c>
      <c r="G3" s="12">
        <f>F3/$F$36</f>
        <v>0</v>
      </c>
      <c r="H3" s="34"/>
      <c r="I3" s="34"/>
      <c r="J3" s="15"/>
      <c r="K3" s="15"/>
      <c r="L3" s="15"/>
      <c r="M3" s="70"/>
      <c r="N3" s="70"/>
      <c r="O3" s="70"/>
    </row>
    <row r="4" spans="1:15">
      <c r="A4" s="2">
        <v>2</v>
      </c>
      <c r="B4" s="2"/>
      <c r="C4" s="2">
        <v>2246.1999999999998</v>
      </c>
      <c r="D4" s="10"/>
      <c r="E4" s="10">
        <v>0</v>
      </c>
      <c r="F4" s="10">
        <f t="shared" ref="F4" si="0">D4*E4</f>
        <v>0</v>
      </c>
      <c r="G4" s="12">
        <f>F4/$F$36</f>
        <v>0</v>
      </c>
      <c r="H4" s="34"/>
      <c r="I4" s="62"/>
      <c r="J4" s="15"/>
      <c r="K4" s="62"/>
      <c r="L4" s="15"/>
      <c r="M4" s="70"/>
      <c r="N4" s="70"/>
      <c r="O4" s="70"/>
    </row>
    <row r="5" spans="1:15">
      <c r="A5" s="2"/>
      <c r="B5" s="2"/>
      <c r="C5" s="2"/>
      <c r="D5" s="10"/>
      <c r="E5" s="10"/>
      <c r="F5" s="10"/>
      <c r="G5" s="12"/>
      <c r="H5" s="34"/>
      <c r="I5" s="62"/>
      <c r="J5" s="15"/>
      <c r="K5" s="62"/>
      <c r="L5" s="15"/>
      <c r="M5" s="70"/>
      <c r="N5" s="70"/>
      <c r="O5" s="70"/>
    </row>
    <row r="6" spans="1:15" s="22" customFormat="1">
      <c r="A6" s="18"/>
      <c r="B6" s="18" t="s">
        <v>53</v>
      </c>
      <c r="C6" s="18">
        <v>2247</v>
      </c>
      <c r="D6" s="19">
        <f>SUM(D3:D5)</f>
        <v>0</v>
      </c>
      <c r="E6" s="19"/>
      <c r="F6" s="19">
        <f>SUM(F3:F5)</f>
        <v>0</v>
      </c>
      <c r="G6" s="20">
        <f>F6/$F$36</f>
        <v>0</v>
      </c>
      <c r="H6" s="82"/>
      <c r="I6" s="62"/>
      <c r="J6" s="15"/>
      <c r="K6" s="62"/>
      <c r="L6" s="15"/>
      <c r="M6" s="70"/>
      <c r="N6" s="70"/>
      <c r="O6" s="70"/>
    </row>
    <row r="7" spans="1:15" s="22" customFormat="1">
      <c r="A7" s="18" t="s">
        <v>125</v>
      </c>
      <c r="B7" s="18" t="s">
        <v>54</v>
      </c>
      <c r="C7" s="18">
        <v>2248</v>
      </c>
      <c r="D7" s="19"/>
      <c r="E7" s="19"/>
      <c r="F7" s="19"/>
      <c r="G7" s="20"/>
      <c r="H7" s="21"/>
      <c r="I7" s="62"/>
      <c r="J7" s="15"/>
      <c r="K7" s="62"/>
      <c r="L7" s="15"/>
      <c r="M7" s="70"/>
      <c r="N7" s="70"/>
      <c r="O7" s="70"/>
    </row>
    <row r="8" spans="1:15">
      <c r="A8" s="2" t="s">
        <v>126</v>
      </c>
      <c r="B8" s="2" t="s">
        <v>215</v>
      </c>
      <c r="C8" s="2">
        <v>2248.1</v>
      </c>
      <c r="D8" s="10"/>
      <c r="E8" s="10"/>
      <c r="F8" s="10"/>
      <c r="G8" s="12"/>
      <c r="H8" s="62"/>
      <c r="I8" s="62"/>
      <c r="J8" s="15"/>
      <c r="K8" s="62"/>
      <c r="L8" s="15"/>
      <c r="M8" s="70"/>
      <c r="N8" s="70"/>
      <c r="O8" s="70"/>
    </row>
    <row r="9" spans="1:15">
      <c r="A9" s="2" t="s">
        <v>127</v>
      </c>
      <c r="B9" s="2" t="s">
        <v>215</v>
      </c>
      <c r="C9" s="2">
        <v>2248.1999999999998</v>
      </c>
      <c r="D9" s="10"/>
      <c r="E9" s="10"/>
      <c r="F9" s="10"/>
      <c r="G9" s="12"/>
      <c r="H9" s="15"/>
      <c r="I9" s="62"/>
      <c r="J9" s="15"/>
      <c r="K9" s="62"/>
      <c r="L9" s="15"/>
      <c r="M9" s="70"/>
      <c r="N9" s="70"/>
      <c r="O9" s="70"/>
    </row>
    <row r="10" spans="1:15">
      <c r="A10" s="2"/>
      <c r="B10" s="2"/>
      <c r="C10" s="2"/>
      <c r="D10" s="10"/>
      <c r="E10" s="10"/>
      <c r="F10" s="10"/>
      <c r="G10" s="12"/>
      <c r="H10" s="15"/>
      <c r="I10" s="62"/>
      <c r="J10" s="15"/>
      <c r="K10" s="62"/>
      <c r="L10" s="15"/>
      <c r="M10" s="70"/>
      <c r="N10" s="70"/>
      <c r="O10" s="70"/>
    </row>
    <row r="11" spans="1:15">
      <c r="A11" s="2"/>
      <c r="B11" s="2" t="s">
        <v>53</v>
      </c>
      <c r="C11" s="2">
        <v>2249</v>
      </c>
      <c r="D11" s="10"/>
      <c r="E11" s="10"/>
      <c r="F11" s="10"/>
      <c r="G11" s="12"/>
      <c r="H11" s="15"/>
      <c r="I11" s="62"/>
      <c r="J11" s="15"/>
      <c r="K11" s="62"/>
      <c r="L11" s="15"/>
    </row>
    <row r="12" spans="1:15" s="22" customFormat="1">
      <c r="A12" s="18"/>
      <c r="B12" s="18" t="s">
        <v>55</v>
      </c>
      <c r="C12" s="18">
        <v>2250</v>
      </c>
      <c r="D12" s="19"/>
      <c r="E12" s="19"/>
      <c r="F12" s="19">
        <f>F6+F11</f>
        <v>0</v>
      </c>
      <c r="G12" s="20">
        <f>F12/$F$36</f>
        <v>0</v>
      </c>
      <c r="H12" s="21"/>
      <c r="I12" s="62"/>
      <c r="J12" s="15"/>
      <c r="K12" s="62"/>
      <c r="L12" s="15"/>
    </row>
    <row r="13" spans="1:15" s="22" customFormat="1">
      <c r="A13" s="18" t="s">
        <v>128</v>
      </c>
      <c r="B13" s="18" t="s">
        <v>56</v>
      </c>
      <c r="C13" s="18">
        <v>2251</v>
      </c>
      <c r="D13" s="19"/>
      <c r="E13" s="19"/>
      <c r="F13" s="19"/>
      <c r="G13" s="20"/>
      <c r="H13" s="21"/>
      <c r="I13" s="62"/>
      <c r="J13" s="15"/>
      <c r="K13" s="62"/>
      <c r="L13" s="15"/>
    </row>
    <row r="14" spans="1:15">
      <c r="A14" s="2" t="s">
        <v>126</v>
      </c>
      <c r="B14" s="2" t="s">
        <v>287</v>
      </c>
      <c r="C14" s="2">
        <v>2251.1</v>
      </c>
      <c r="D14" s="10">
        <v>140000</v>
      </c>
      <c r="E14" s="10">
        <v>106281.53005714285</v>
      </c>
      <c r="F14" s="10">
        <f>ROUND(D14*E14, )</f>
        <v>14879414208</v>
      </c>
      <c r="G14" s="12">
        <f>F14/$F$36</f>
        <v>0.11495916906407817</v>
      </c>
      <c r="H14" s="15"/>
      <c r="I14" s="62"/>
      <c r="J14" s="15"/>
      <c r="K14" s="62"/>
      <c r="L14" s="15"/>
    </row>
    <row r="15" spans="1:15">
      <c r="A15" s="2" t="s">
        <v>127</v>
      </c>
      <c r="B15" s="2" t="s">
        <v>288</v>
      </c>
      <c r="C15" s="2">
        <v>2251.1999999999998</v>
      </c>
      <c r="D15" s="10">
        <v>100000</v>
      </c>
      <c r="E15" s="10">
        <v>76119.125679999997</v>
      </c>
      <c r="F15" s="10">
        <f t="shared" ref="F15:F16" si="1">ROUND(D15*E15, )</f>
        <v>7611912568</v>
      </c>
      <c r="G15" s="12">
        <f>F15/$F$36</f>
        <v>5.881005337798937E-2</v>
      </c>
      <c r="H15" s="15"/>
      <c r="I15" s="62"/>
      <c r="J15" s="15"/>
      <c r="K15" s="62"/>
      <c r="L15" s="15"/>
    </row>
    <row r="16" spans="1:15">
      <c r="A16" s="2">
        <v>3</v>
      </c>
      <c r="B16" s="2" t="s">
        <v>292</v>
      </c>
      <c r="C16" s="2">
        <v>2251.3000000000002</v>
      </c>
      <c r="D16" s="10">
        <v>500000</v>
      </c>
      <c r="E16" s="10">
        <v>104393.16422344884</v>
      </c>
      <c r="F16" s="10">
        <f t="shared" si="1"/>
        <v>52196582112</v>
      </c>
      <c r="G16" s="12">
        <f>F16/$F$36</f>
        <v>0.40327365202013515</v>
      </c>
      <c r="H16" s="15"/>
      <c r="I16" s="62"/>
      <c r="J16" s="15"/>
      <c r="K16" s="62"/>
      <c r="L16" s="15"/>
    </row>
    <row r="17" spans="1:12">
      <c r="A17" s="2" t="s">
        <v>217</v>
      </c>
      <c r="B17" s="2"/>
      <c r="C17" s="2">
        <v>2251.4</v>
      </c>
      <c r="D17" s="10"/>
      <c r="E17" s="10"/>
      <c r="F17" s="10"/>
      <c r="G17" s="12"/>
      <c r="H17" s="15"/>
      <c r="I17" s="62"/>
      <c r="J17" s="15"/>
      <c r="K17" s="62"/>
      <c r="L17" s="15"/>
    </row>
    <row r="18" spans="1:12">
      <c r="A18" s="2">
        <v>4</v>
      </c>
      <c r="B18" s="2"/>
      <c r="C18" s="2">
        <v>2251.5</v>
      </c>
      <c r="D18" s="10"/>
      <c r="E18" s="10"/>
      <c r="F18" s="10"/>
      <c r="G18" s="12"/>
      <c r="H18" s="15"/>
      <c r="I18" s="62"/>
      <c r="J18" s="15"/>
      <c r="K18" s="62"/>
      <c r="L18" s="15"/>
    </row>
    <row r="19" spans="1:12">
      <c r="A19" s="2"/>
      <c r="B19" s="2" t="s">
        <v>53</v>
      </c>
      <c r="C19" s="2">
        <v>2252</v>
      </c>
      <c r="D19" s="19">
        <f>SUM(D14:D18)</f>
        <v>740000</v>
      </c>
      <c r="E19" s="10"/>
      <c r="F19" s="19">
        <f>SUM(F14:F18)</f>
        <v>74687908888</v>
      </c>
      <c r="G19" s="12"/>
      <c r="H19" s="15"/>
      <c r="I19" s="62"/>
      <c r="J19" s="15"/>
      <c r="K19" s="62"/>
      <c r="L19" s="15"/>
    </row>
    <row r="20" spans="1:12" s="22" customFormat="1" ht="26.25" customHeight="1">
      <c r="A20" s="18" t="s">
        <v>129</v>
      </c>
      <c r="B20" s="18" t="s">
        <v>57</v>
      </c>
      <c r="C20" s="18">
        <v>2253</v>
      </c>
      <c r="D20" s="19"/>
      <c r="E20" s="19"/>
      <c r="F20" s="19"/>
      <c r="G20" s="20"/>
      <c r="H20" s="21"/>
      <c r="I20" s="62"/>
      <c r="J20" s="15"/>
      <c r="K20" s="62"/>
      <c r="L20" s="15"/>
    </row>
    <row r="21" spans="1:12">
      <c r="A21" s="2" t="s">
        <v>126</v>
      </c>
      <c r="B21" s="2" t="s">
        <v>216</v>
      </c>
      <c r="C21" s="2">
        <v>2253.1</v>
      </c>
      <c r="D21" s="10"/>
      <c r="E21" s="10"/>
      <c r="F21" s="10">
        <f>D21*E21</f>
        <v>0</v>
      </c>
      <c r="G21" s="12">
        <f>F21/$F$36</f>
        <v>0</v>
      </c>
      <c r="H21" s="15"/>
      <c r="I21" s="62"/>
      <c r="J21" s="15"/>
      <c r="K21" s="62"/>
      <c r="L21" s="15"/>
    </row>
    <row r="22" spans="1:12">
      <c r="A22" s="2">
        <v>2</v>
      </c>
      <c r="B22" s="2" t="s">
        <v>215</v>
      </c>
      <c r="C22" s="2">
        <v>2253.1999999999998</v>
      </c>
      <c r="D22" s="10"/>
      <c r="E22" s="10"/>
      <c r="F22" s="10"/>
      <c r="G22" s="12"/>
      <c r="H22" s="15"/>
      <c r="I22" s="62"/>
      <c r="J22" s="15"/>
      <c r="K22" s="62"/>
      <c r="L22" s="15"/>
    </row>
    <row r="23" spans="1:12">
      <c r="A23" s="2"/>
      <c r="B23" s="2" t="s">
        <v>53</v>
      </c>
      <c r="C23" s="2">
        <v>2254</v>
      </c>
      <c r="D23" s="10"/>
      <c r="E23" s="10"/>
      <c r="F23" s="10">
        <f>F21</f>
        <v>0</v>
      </c>
      <c r="G23" s="12">
        <f>F23/$F$36</f>
        <v>0</v>
      </c>
      <c r="H23" s="15"/>
      <c r="I23" s="62"/>
      <c r="J23" s="15"/>
      <c r="K23" s="62"/>
      <c r="L23" s="15"/>
    </row>
    <row r="24" spans="1:12" s="22" customFormat="1" ht="21">
      <c r="A24" s="18"/>
      <c r="B24" s="18" t="s">
        <v>58</v>
      </c>
      <c r="C24" s="18">
        <v>2255</v>
      </c>
      <c r="D24" s="19"/>
      <c r="E24" s="19"/>
      <c r="F24" s="19">
        <f>F12+F19+F23</f>
        <v>74687908888</v>
      </c>
      <c r="G24" s="20">
        <f>F24/$F$36</f>
        <v>0.5770428744622027</v>
      </c>
      <c r="H24" s="21"/>
      <c r="I24" s="62"/>
      <c r="J24" s="15"/>
      <c r="K24" s="62"/>
      <c r="L24" s="15"/>
    </row>
    <row r="25" spans="1:12" s="22" customFormat="1">
      <c r="A25" s="18" t="s">
        <v>130</v>
      </c>
      <c r="B25" s="18" t="s">
        <v>131</v>
      </c>
      <c r="C25" s="18">
        <v>2256</v>
      </c>
      <c r="D25" s="19"/>
      <c r="E25" s="19"/>
      <c r="F25" s="19"/>
      <c r="G25" s="20"/>
      <c r="H25" s="21"/>
      <c r="I25" s="62"/>
      <c r="J25" s="15"/>
      <c r="K25" s="62"/>
      <c r="L25" s="15"/>
    </row>
    <row r="26" spans="1:12">
      <c r="A26" s="2">
        <v>1</v>
      </c>
      <c r="B26" s="2" t="s">
        <v>219</v>
      </c>
      <c r="C26" s="2">
        <v>2256.1</v>
      </c>
      <c r="D26" s="10"/>
      <c r="E26" s="10"/>
      <c r="F26" s="10">
        <v>2626120219</v>
      </c>
      <c r="G26" s="12">
        <f t="shared" ref="G26:G30" si="2">F26/$F$36</f>
        <v>2.0289548635342016E-2</v>
      </c>
      <c r="H26" s="15"/>
      <c r="I26" s="62"/>
      <c r="J26" s="15"/>
      <c r="K26" s="62"/>
      <c r="L26" s="15"/>
    </row>
    <row r="27" spans="1:12">
      <c r="A27" s="2">
        <v>2</v>
      </c>
      <c r="B27" s="2" t="s">
        <v>220</v>
      </c>
      <c r="C27" s="2">
        <v>2256.1999999999998</v>
      </c>
      <c r="D27" s="10"/>
      <c r="E27" s="10"/>
      <c r="F27" s="10">
        <v>46222223</v>
      </c>
      <c r="G27" s="12">
        <f t="shared" si="2"/>
        <v>3.5711542632623259E-4</v>
      </c>
      <c r="H27" s="15"/>
      <c r="I27" s="62"/>
      <c r="J27" s="15"/>
      <c r="K27" s="62"/>
      <c r="L27" s="15"/>
    </row>
    <row r="28" spans="1:12">
      <c r="A28" s="2">
        <v>3</v>
      </c>
      <c r="B28" s="2" t="s">
        <v>228</v>
      </c>
      <c r="C28" s="2">
        <v>2256.3000000000002</v>
      </c>
      <c r="D28" s="10"/>
      <c r="E28" s="10"/>
      <c r="F28" s="10">
        <v>0</v>
      </c>
      <c r="G28" s="12">
        <f t="shared" si="2"/>
        <v>0</v>
      </c>
      <c r="H28" s="15"/>
      <c r="I28" s="62"/>
      <c r="J28" s="15"/>
      <c r="K28" s="62"/>
      <c r="L28" s="15"/>
    </row>
    <row r="29" spans="1:12">
      <c r="A29" s="2">
        <v>4</v>
      </c>
      <c r="B29" s="2" t="s">
        <v>227</v>
      </c>
      <c r="C29" s="2">
        <v>2256.4</v>
      </c>
      <c r="D29" s="10"/>
      <c r="E29" s="10"/>
      <c r="F29" s="10">
        <v>0</v>
      </c>
      <c r="G29" s="12">
        <f t="shared" si="2"/>
        <v>0</v>
      </c>
      <c r="H29" s="15"/>
      <c r="I29" s="62"/>
      <c r="J29" s="15"/>
      <c r="K29" s="62"/>
      <c r="L29" s="15"/>
    </row>
    <row r="30" spans="1:12" s="22" customFormat="1">
      <c r="A30" s="18"/>
      <c r="B30" s="18" t="s">
        <v>53</v>
      </c>
      <c r="C30" s="18">
        <v>2257</v>
      </c>
      <c r="D30" s="19"/>
      <c r="E30" s="19"/>
      <c r="F30" s="19">
        <f>SUM(F26:F29)</f>
        <v>2672342442</v>
      </c>
      <c r="G30" s="20">
        <f t="shared" si="2"/>
        <v>2.0646664061668249E-2</v>
      </c>
      <c r="H30" s="21"/>
      <c r="I30" s="62"/>
      <c r="J30" s="15"/>
      <c r="K30" s="62"/>
      <c r="L30" s="15"/>
    </row>
    <row r="31" spans="1:12" s="22" customFormat="1">
      <c r="A31" s="18" t="s">
        <v>132</v>
      </c>
      <c r="B31" s="18" t="s">
        <v>3</v>
      </c>
      <c r="C31" s="18">
        <v>2258</v>
      </c>
      <c r="D31" s="19"/>
      <c r="E31" s="19"/>
      <c r="F31" s="19"/>
      <c r="G31" s="20"/>
      <c r="H31" s="21"/>
      <c r="I31" s="62"/>
      <c r="J31" s="15"/>
      <c r="K31" s="62"/>
      <c r="L31" s="15"/>
    </row>
    <row r="32" spans="1:12">
      <c r="A32" s="2"/>
      <c r="B32" s="2" t="s">
        <v>59</v>
      </c>
      <c r="C32" s="2">
        <v>2259</v>
      </c>
      <c r="D32" s="10"/>
      <c r="E32" s="10"/>
      <c r="F32" s="10">
        <v>871914274</v>
      </c>
      <c r="G32" s="12">
        <f>F32/$F$36</f>
        <v>6.7364574325955197E-3</v>
      </c>
      <c r="H32" s="15"/>
      <c r="I32" s="62"/>
      <c r="J32" s="15"/>
      <c r="K32" s="62"/>
      <c r="L32" s="15"/>
    </row>
    <row r="33" spans="1:12">
      <c r="A33" s="2"/>
      <c r="B33" s="2" t="s">
        <v>60</v>
      </c>
      <c r="C33" s="2">
        <v>2260</v>
      </c>
      <c r="D33" s="10"/>
      <c r="E33" s="10"/>
      <c r="F33" s="10"/>
      <c r="G33" s="12"/>
      <c r="H33" s="15"/>
      <c r="I33" s="62"/>
      <c r="J33" s="15"/>
      <c r="K33" s="62"/>
      <c r="L33" s="15"/>
    </row>
    <row r="34" spans="1:12">
      <c r="A34" s="2"/>
      <c r="B34" s="2" t="s">
        <v>289</v>
      </c>
      <c r="C34" s="2">
        <v>2261</v>
      </c>
      <c r="D34" s="10"/>
      <c r="E34" s="10"/>
      <c r="F34" s="10">
        <v>51200000000</v>
      </c>
      <c r="G34" s="12"/>
      <c r="H34" s="15"/>
      <c r="I34" s="62"/>
      <c r="J34" s="15"/>
      <c r="K34" s="62"/>
      <c r="L34" s="15"/>
    </row>
    <row r="35" spans="1:12">
      <c r="A35" s="2"/>
      <c r="B35" s="2" t="s">
        <v>53</v>
      </c>
      <c r="C35" s="2">
        <v>2262</v>
      </c>
      <c r="D35" s="10"/>
      <c r="E35" s="10"/>
      <c r="F35" s="19">
        <f>F32+F33+F34</f>
        <v>52071914274</v>
      </c>
      <c r="G35" s="12">
        <f t="shared" ref="G35:G36" si="3">F35/$F$36</f>
        <v>0.40231046147612909</v>
      </c>
      <c r="H35" s="15"/>
      <c r="I35" s="62"/>
      <c r="J35" s="15"/>
      <c r="K35" s="62"/>
      <c r="L35" s="15"/>
    </row>
    <row r="36" spans="1:12" s="22" customFormat="1">
      <c r="A36" s="18" t="s">
        <v>133</v>
      </c>
      <c r="B36" s="18" t="s">
        <v>134</v>
      </c>
      <c r="C36" s="18">
        <v>2263</v>
      </c>
      <c r="D36" s="19"/>
      <c r="E36" s="19"/>
      <c r="F36" s="19">
        <f>F24+F30+F35</f>
        <v>129432165604</v>
      </c>
      <c r="G36" s="20">
        <f t="shared" si="3"/>
        <v>1</v>
      </c>
      <c r="H36" s="21"/>
      <c r="I36" s="62"/>
      <c r="J36" s="15"/>
      <c r="K36" s="62"/>
      <c r="L36" s="15"/>
    </row>
    <row r="37" spans="1:12">
      <c r="A37" s="13"/>
      <c r="B37" s="13"/>
      <c r="C37" s="13"/>
      <c r="D37" s="13"/>
      <c r="E37" s="13"/>
      <c r="F37" s="13"/>
      <c r="G37" s="13"/>
      <c r="I37" s="62"/>
      <c r="J37" s="15"/>
    </row>
    <row r="38" spans="1:12">
      <c r="B38" s="129" t="s">
        <v>294</v>
      </c>
      <c r="F38" s="61">
        <f ca="1">F36-BCTaiSan_06027!D19</f>
        <v>0</v>
      </c>
      <c r="I38" s="62"/>
      <c r="J38" s="15"/>
    </row>
    <row r="39" spans="1:12" ht="16.5" customHeight="1">
      <c r="B39" s="97" t="s">
        <v>218</v>
      </c>
      <c r="C39" s="96"/>
      <c r="D39" s="96"/>
      <c r="E39" s="96"/>
      <c r="F39" s="96"/>
      <c r="G39" s="96"/>
      <c r="I39" s="62"/>
      <c r="J39" s="15"/>
    </row>
    <row r="40" spans="1:12">
      <c r="B40" s="129" t="s">
        <v>293</v>
      </c>
      <c r="I40" s="62"/>
      <c r="J40" s="15"/>
    </row>
    <row r="41" spans="1:12">
      <c r="I41" s="62"/>
      <c r="J41" s="15"/>
    </row>
    <row r="42" spans="1:12">
      <c r="I42" s="62"/>
      <c r="J42" s="15"/>
    </row>
    <row r="43" spans="1:12">
      <c r="I43" s="62"/>
      <c r="J43" s="15"/>
    </row>
    <row r="44" spans="1:12">
      <c r="I44" s="62"/>
      <c r="J44" s="15"/>
    </row>
  </sheetData>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Q32"/>
  <sheetViews>
    <sheetView workbookViewId="0">
      <selection activeCell="L12" sqref="L12"/>
    </sheetView>
  </sheetViews>
  <sheetFormatPr defaultColWidth="9.140625" defaultRowHeight="15"/>
  <cols>
    <col min="1" max="1" width="9.140625" style="14"/>
    <col min="2" max="2" width="37.140625" style="14" customWidth="1"/>
    <col min="3" max="3" width="9.140625" style="14"/>
    <col min="4" max="4" width="16.85546875" style="80" customWidth="1"/>
    <col min="5" max="5" width="16.85546875" style="14" customWidth="1"/>
    <col min="6" max="6" width="12.28515625" style="62" customWidth="1"/>
    <col min="7" max="7" width="14" style="14" customWidth="1"/>
    <col min="8" max="8" width="17.5703125" style="14" customWidth="1"/>
    <col min="9" max="9" width="16.42578125" style="14" customWidth="1"/>
    <col min="10" max="10" width="10.140625" style="14" customWidth="1"/>
    <col min="11" max="11" width="10.42578125" style="14" customWidth="1"/>
    <col min="12" max="12" width="10.140625" style="14" bestFit="1" customWidth="1"/>
    <col min="13" max="13" width="20" style="14" customWidth="1"/>
    <col min="14" max="16384" width="9.140625" style="14"/>
  </cols>
  <sheetData>
    <row r="1" spans="1:17" ht="21">
      <c r="A1" s="35" t="s">
        <v>51</v>
      </c>
      <c r="B1" s="36" t="s">
        <v>99</v>
      </c>
      <c r="C1" s="33" t="s">
        <v>117</v>
      </c>
      <c r="D1" s="121" t="s">
        <v>118</v>
      </c>
      <c r="E1" s="33" t="s">
        <v>100</v>
      </c>
      <c r="H1" s="37"/>
      <c r="I1" s="17"/>
    </row>
    <row r="2" spans="1:17">
      <c r="A2" s="25" t="s">
        <v>124</v>
      </c>
      <c r="B2" s="8" t="s">
        <v>61</v>
      </c>
      <c r="C2" s="1" t="s">
        <v>62</v>
      </c>
      <c r="D2" s="111"/>
      <c r="E2" s="2"/>
      <c r="H2" s="38"/>
      <c r="I2" s="75">
        <f ca="1">BCTaiSan_06027!D26</f>
        <v>77772516686</v>
      </c>
      <c r="M2" s="15"/>
      <c r="N2" s="15"/>
    </row>
    <row r="3" spans="1:17" ht="21">
      <c r="A3" s="25">
        <v>1</v>
      </c>
      <c r="B3" s="8" t="s">
        <v>63</v>
      </c>
      <c r="C3" s="1" t="s">
        <v>64</v>
      </c>
      <c r="D3" s="93">
        <f>[1]BCKetQuaHoatDong_06028!D7/[1]Khac_06030!I8*12</f>
        <v>2.4576817125735052E-3</v>
      </c>
      <c r="E3" s="56"/>
      <c r="G3" s="62"/>
      <c r="H3" s="38"/>
      <c r="I3" s="75"/>
      <c r="L3" s="15"/>
      <c r="M3" s="15"/>
      <c r="N3" s="15"/>
      <c r="Q3" s="15"/>
    </row>
    <row r="4" spans="1:17" ht="21">
      <c r="A4" s="25">
        <v>2</v>
      </c>
      <c r="B4" s="8" t="s">
        <v>65</v>
      </c>
      <c r="C4" s="1" t="s">
        <v>66</v>
      </c>
      <c r="D4" s="93">
        <f>[1]BCKetQuaHoatDong_06028!D8/[1]Khac_06030!I8*12</f>
        <v>3.204689865010703E-3</v>
      </c>
      <c r="E4" s="56"/>
      <c r="G4" s="62"/>
      <c r="H4" s="38"/>
      <c r="I4" s="75"/>
      <c r="L4" s="15"/>
      <c r="M4" s="15"/>
      <c r="N4" s="15"/>
      <c r="Q4" s="15"/>
    </row>
    <row r="5" spans="1:17" ht="52.5">
      <c r="A5" s="25">
        <v>3</v>
      </c>
      <c r="B5" s="8" t="s">
        <v>210</v>
      </c>
      <c r="C5" s="1" t="s">
        <v>211</v>
      </c>
      <c r="D5" s="93">
        <f>[1]BCKetQuaHoatDong_06028!D9/[1]Khac_06030!I8*12</f>
        <v>1.6972576640786733E-3</v>
      </c>
      <c r="E5" s="56"/>
      <c r="G5" s="62"/>
      <c r="H5" s="38"/>
      <c r="I5" s="75"/>
      <c r="L5" s="15"/>
      <c r="M5" s="15"/>
      <c r="N5" s="15"/>
      <c r="Q5" s="15"/>
    </row>
    <row r="6" spans="1:17" ht="31.5">
      <c r="A6" s="25">
        <v>4</v>
      </c>
      <c r="B6" s="8" t="s">
        <v>67</v>
      </c>
      <c r="C6" s="1" t="s">
        <v>68</v>
      </c>
      <c r="D6" s="93">
        <f>[1]BCKetQuaHoatDong_06028!D10/[1]Khac_06030!I8*12</f>
        <v>5.2261587681547432E-4</v>
      </c>
      <c r="E6" s="56"/>
      <c r="G6" s="62"/>
      <c r="H6" s="38"/>
      <c r="I6" s="75"/>
      <c r="L6" s="15"/>
      <c r="M6" s="15"/>
      <c r="N6" s="15"/>
      <c r="Q6" s="15"/>
    </row>
    <row r="7" spans="1:17" ht="42">
      <c r="A7" s="25">
        <v>5</v>
      </c>
      <c r="B7" s="8" t="s">
        <v>69</v>
      </c>
      <c r="C7" s="1" t="s">
        <v>70</v>
      </c>
      <c r="D7" s="93">
        <f>[1]BCKetQuaHoatDong_06028!D11/[1]Khac_06030!I8*12</f>
        <v>0</v>
      </c>
      <c r="E7" s="56"/>
      <c r="G7" s="62"/>
      <c r="H7" s="38"/>
      <c r="I7" s="75"/>
      <c r="L7" s="15"/>
      <c r="M7" s="15"/>
      <c r="N7" s="15"/>
      <c r="Q7" s="15"/>
    </row>
    <row r="8" spans="1:17" ht="24" customHeight="1">
      <c r="A8" s="25">
        <v>6</v>
      </c>
      <c r="B8" s="8" t="s">
        <v>71</v>
      </c>
      <c r="C8" s="1" t="s">
        <v>72</v>
      </c>
      <c r="D8" s="93">
        <f>(([1]BCKetQuaHoatDong_06028!D6)*152)/([1]Khac_06030!I8*(J9-K9))</f>
        <v>5.7185091764109328E-3</v>
      </c>
      <c r="E8" s="56"/>
      <c r="G8" s="62"/>
      <c r="H8" s="37" t="s">
        <v>223</v>
      </c>
      <c r="I8" s="26">
        <f ca="1">AVERAGE(I2:I6)</f>
        <v>77772516686</v>
      </c>
      <c r="L8" s="15"/>
      <c r="M8" s="15"/>
      <c r="N8" s="15"/>
      <c r="Q8" s="15"/>
    </row>
    <row r="9" spans="1:17" ht="42">
      <c r="A9" s="25">
        <v>7</v>
      </c>
      <c r="B9" s="8" t="s">
        <v>236</v>
      </c>
      <c r="C9" s="1" t="s">
        <v>73</v>
      </c>
      <c r="D9" s="134">
        <f ca="1">((H10+I10)*152)/((2*I8)*(J9-K9))</f>
        <v>4.2621893481144424</v>
      </c>
      <c r="E9" s="57"/>
      <c r="G9" s="62"/>
      <c r="H9" s="80" t="s">
        <v>224</v>
      </c>
      <c r="I9" s="80" t="s">
        <v>225</v>
      </c>
      <c r="J9" s="123">
        <v>42521</v>
      </c>
      <c r="K9" s="123">
        <v>42480</v>
      </c>
      <c r="L9" s="15"/>
      <c r="M9" s="15"/>
      <c r="N9" s="15"/>
      <c r="Q9" s="15"/>
    </row>
    <row r="10" spans="1:17">
      <c r="A10" s="25" t="s">
        <v>150</v>
      </c>
      <c r="B10" s="8" t="s">
        <v>74</v>
      </c>
      <c r="C10" s="1" t="s">
        <v>75</v>
      </c>
      <c r="D10" s="91"/>
      <c r="E10" s="4"/>
      <c r="G10" s="62"/>
      <c r="H10" s="84">
        <f>[2]Apr.2016!$H$17+[2]Bond!$L$5</f>
        <v>127609880000</v>
      </c>
      <c r="I10" s="84">
        <f>'[3]26.5_Sell.Repo'!$J$18</f>
        <v>51215500000</v>
      </c>
      <c r="L10" s="15"/>
      <c r="M10" s="15"/>
      <c r="N10" s="15"/>
      <c r="Q10" s="15"/>
    </row>
    <row r="11" spans="1:17">
      <c r="A11" s="135">
        <v>1</v>
      </c>
      <c r="B11" s="8" t="s">
        <v>76</v>
      </c>
      <c r="C11" s="1" t="s">
        <v>77</v>
      </c>
      <c r="D11" s="91"/>
      <c r="E11" s="4"/>
      <c r="G11" s="62"/>
      <c r="J11" s="123">
        <v>42521</v>
      </c>
      <c r="K11" s="123">
        <v>42369</v>
      </c>
      <c r="L11" s="125">
        <f>J11-K11</f>
        <v>152</v>
      </c>
      <c r="M11" s="15"/>
      <c r="N11" s="15"/>
      <c r="Q11" s="15"/>
    </row>
    <row r="12" spans="1:17">
      <c r="A12" s="136"/>
      <c r="B12" s="8" t="s">
        <v>78</v>
      </c>
      <c r="C12" s="1" t="s">
        <v>79</v>
      </c>
      <c r="D12" s="132">
        <v>76856000000</v>
      </c>
      <c r="E12" s="4"/>
      <c r="F12" s="62">
        <f ca="1">D13+D15+D17-D21</f>
        <v>0</v>
      </c>
      <c r="G12" s="62"/>
      <c r="L12" s="15"/>
      <c r="M12" s="15"/>
      <c r="N12" s="15"/>
      <c r="Q12" s="15"/>
    </row>
    <row r="13" spans="1:17">
      <c r="A13" s="137"/>
      <c r="B13" s="8" t="s">
        <v>80</v>
      </c>
      <c r="C13" s="1" t="s">
        <v>81</v>
      </c>
      <c r="D13" s="131">
        <v>7685600</v>
      </c>
      <c r="E13" s="58"/>
      <c r="G13" s="62"/>
      <c r="L13" s="15"/>
      <c r="M13" s="15"/>
      <c r="N13" s="15"/>
      <c r="Q13" s="15"/>
    </row>
    <row r="14" spans="1:17">
      <c r="A14" s="135">
        <v>2</v>
      </c>
      <c r="B14" s="8" t="s">
        <v>82</v>
      </c>
      <c r="C14" s="1" t="s">
        <v>83</v>
      </c>
      <c r="D14" s="92"/>
      <c r="E14" s="4"/>
      <c r="G14" s="62"/>
      <c r="L14" s="15"/>
      <c r="M14" s="15"/>
      <c r="N14" s="15"/>
      <c r="Q14" s="15"/>
    </row>
    <row r="15" spans="1:17">
      <c r="A15" s="136"/>
      <c r="B15" s="8" t="s">
        <v>84</v>
      </c>
      <c r="C15" s="1" t="s">
        <v>85</v>
      </c>
      <c r="D15" s="131">
        <v>99.62</v>
      </c>
      <c r="E15" s="58"/>
      <c r="G15" s="62"/>
      <c r="L15" s="15"/>
      <c r="M15" s="15"/>
      <c r="N15" s="15"/>
      <c r="Q15" s="15"/>
    </row>
    <row r="16" spans="1:17">
      <c r="A16" s="136"/>
      <c r="B16" s="8" t="s">
        <v>86</v>
      </c>
      <c r="C16" s="1" t="s">
        <v>87</v>
      </c>
      <c r="D16" s="131">
        <v>996200</v>
      </c>
      <c r="E16" s="4"/>
      <c r="G16" s="62"/>
      <c r="L16" s="15"/>
      <c r="M16" s="15"/>
      <c r="N16" s="15"/>
      <c r="Q16" s="15"/>
    </row>
    <row r="17" spans="1:17">
      <c r="A17" s="136"/>
      <c r="B17" s="8" t="s">
        <v>193</v>
      </c>
      <c r="C17" s="1" t="s">
        <v>202</v>
      </c>
      <c r="D17" s="63">
        <f>D18/10000</f>
        <v>0</v>
      </c>
      <c r="E17" s="63"/>
      <c r="G17" s="62"/>
      <c r="L17" s="15"/>
      <c r="M17" s="15"/>
      <c r="N17" s="15"/>
      <c r="Q17" s="15"/>
    </row>
    <row r="18" spans="1:17" ht="21">
      <c r="A18" s="137"/>
      <c r="B18" s="8" t="s">
        <v>194</v>
      </c>
      <c r="C18" s="1" t="s">
        <v>203</v>
      </c>
      <c r="D18" s="130">
        <v>0</v>
      </c>
      <c r="E18" s="4"/>
      <c r="G18" s="62"/>
      <c r="L18" s="15"/>
      <c r="M18" s="15"/>
      <c r="N18" s="15"/>
      <c r="Q18" s="15"/>
    </row>
    <row r="19" spans="1:17">
      <c r="A19" s="135">
        <v>3</v>
      </c>
      <c r="B19" s="8" t="s">
        <v>88</v>
      </c>
      <c r="C19" s="1" t="s">
        <v>89</v>
      </c>
      <c r="D19" s="92"/>
      <c r="E19" s="4"/>
      <c r="G19" s="62"/>
      <c r="L19" s="15"/>
      <c r="M19" s="15"/>
      <c r="N19" s="15"/>
      <c r="Q19" s="15"/>
    </row>
    <row r="20" spans="1:17">
      <c r="A20" s="136"/>
      <c r="B20" s="8" t="s">
        <v>195</v>
      </c>
      <c r="C20" s="1" t="s">
        <v>90</v>
      </c>
      <c r="D20" s="92">
        <f ca="1">D21*10000</f>
        <v>76856996200</v>
      </c>
      <c r="E20" s="4"/>
      <c r="G20" s="62"/>
      <c r="L20" s="15"/>
      <c r="M20" s="15"/>
      <c r="N20" s="15"/>
      <c r="Q20" s="15"/>
    </row>
    <row r="21" spans="1:17">
      <c r="A21" s="137"/>
      <c r="B21" s="8" t="s">
        <v>196</v>
      </c>
      <c r="C21" s="1" t="s">
        <v>91</v>
      </c>
      <c r="D21" s="92">
        <f ca="1">BCTaiSan_06027!D27</f>
        <v>7685699.6200000001</v>
      </c>
      <c r="E21" s="58"/>
      <c r="G21" s="62"/>
      <c r="L21" s="15"/>
      <c r="M21" s="15"/>
      <c r="N21" s="15"/>
      <c r="Q21" s="15"/>
    </row>
    <row r="22" spans="1:17" ht="21">
      <c r="A22" s="25">
        <v>4</v>
      </c>
      <c r="B22" s="133" t="s">
        <v>92</v>
      </c>
      <c r="C22" s="1" t="s">
        <v>93</v>
      </c>
      <c r="D22" s="93">
        <v>0.85264586491867089</v>
      </c>
      <c r="E22" s="56"/>
      <c r="G22" s="62"/>
      <c r="L22" s="15"/>
      <c r="M22" s="15"/>
      <c r="N22" s="15"/>
      <c r="Q22" s="15"/>
    </row>
    <row r="23" spans="1:17" ht="21">
      <c r="A23" s="25">
        <v>5</v>
      </c>
      <c r="B23" s="133" t="s">
        <v>94</v>
      </c>
      <c r="C23" s="1" t="s">
        <v>95</v>
      </c>
      <c r="D23" s="93">
        <v>0.9719349401271552</v>
      </c>
      <c r="E23" s="56"/>
      <c r="G23" s="62"/>
      <c r="L23" s="15"/>
      <c r="M23" s="15"/>
      <c r="N23" s="15"/>
      <c r="Q23" s="15"/>
    </row>
    <row r="24" spans="1:17" ht="21">
      <c r="A24" s="25">
        <v>6</v>
      </c>
      <c r="B24" s="8" t="s">
        <v>96</v>
      </c>
      <c r="C24" s="1" t="s">
        <v>97</v>
      </c>
      <c r="D24" s="93">
        <v>0</v>
      </c>
      <c r="E24" s="56"/>
      <c r="G24" s="62"/>
      <c r="L24" s="15"/>
      <c r="M24" s="15"/>
      <c r="N24" s="15"/>
      <c r="Q24" s="15"/>
    </row>
    <row r="25" spans="1:17" ht="21">
      <c r="A25" s="25">
        <v>7</v>
      </c>
      <c r="B25" s="8" t="s">
        <v>197</v>
      </c>
      <c r="C25" s="1" t="s">
        <v>209</v>
      </c>
      <c r="D25" s="94">
        <v>193</v>
      </c>
      <c r="E25" s="59"/>
      <c r="G25" s="62"/>
      <c r="L25" s="15"/>
      <c r="M25" s="15"/>
      <c r="N25" s="15"/>
      <c r="Q25" s="15"/>
    </row>
    <row r="26" spans="1:17">
      <c r="A26" s="25">
        <v>8</v>
      </c>
      <c r="B26" s="8" t="s">
        <v>198</v>
      </c>
      <c r="C26" s="1" t="s">
        <v>98</v>
      </c>
      <c r="D26" s="95">
        <f ca="1">BCTaiSan_06027!D28</f>
        <v>10119</v>
      </c>
      <c r="E26" s="72"/>
      <c r="G26" s="62"/>
      <c r="L26" s="15"/>
      <c r="M26" s="15"/>
      <c r="N26" s="15"/>
      <c r="Q26" s="15"/>
    </row>
    <row r="27" spans="1:17">
      <c r="L27" s="15"/>
      <c r="N27" s="15"/>
      <c r="Q27" s="15"/>
    </row>
    <row r="28" spans="1:17">
      <c r="L28" s="15"/>
      <c r="N28" s="15"/>
      <c r="Q28" s="15"/>
    </row>
    <row r="29" spans="1:17">
      <c r="L29" s="15"/>
      <c r="N29" s="15"/>
      <c r="Q29" s="15"/>
    </row>
    <row r="30" spans="1:17">
      <c r="L30" s="15"/>
      <c r="N30" s="15"/>
      <c r="Q30" s="15"/>
    </row>
    <row r="31" spans="1:17">
      <c r="L31" s="15"/>
      <c r="N31" s="15"/>
      <c r="Q31" s="15"/>
    </row>
    <row r="32" spans="1:17">
      <c r="L32" s="15"/>
      <c r="N32" s="15"/>
      <c r="Q32" s="15"/>
    </row>
  </sheetData>
  <mergeCells count="3">
    <mergeCell ref="A11:A13"/>
    <mergeCell ref="A14:A18"/>
    <mergeCell ref="A19:A21"/>
  </mergeCells>
  <pageMargins left="0.33" right="0.46" top="0.75" bottom="0.75" header="0.3" footer="0.3"/>
  <pageSetup orientation="portrait" r:id="rId1"/>
  <header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b31801e3ea2d44ce87e23ad89617e05b.psdsxs" Id="R64b49983edd54566"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J3zr05SCjfEFp4czreXDClXV/tc=</DigestValue>
    </Reference>
    <Reference URI="#idOfficeObject" Type="http://www.w3.org/2000/09/xmldsig#Object">
      <DigestMethod Algorithm="http://www.w3.org/2000/09/xmldsig#sha1"/>
      <DigestValue>G3MnDgWhQX8Tx3+3dpx0MCPD4EA=</DigestValue>
    </Reference>
  </SignedInfo>
  <SignatureValue>
    FySVMhIDr9lHv1s+zVhgbz+FNDmFOSF3AKCmYTHpFrnMaAh9cUe51anKy6Crxx1Z+do+bBkX
    6//bftdazdD2uIRZT1bmFZyShjGkFKVEGjtlCO6tDcvXxv+nP2lqS58yKdPgvpsu6Ua6y994
    3J4HWRuxIkg+OcSeAF2qJ7tR+OQ=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s0NTsjH/Uyeu2k4mbeZlflqK8Q8=</DigestValue>
      </Reference>
      <Reference URI="/xl/calcChain.xml?ContentType=application/vnd.openxmlformats-officedocument.spreadsheetml.calcChain+xml">
        <DigestMethod Algorithm="http://www.w3.org/2000/09/xmldsig#sha1"/>
        <DigestValue>6Zz8G+gu4W8yE88rqu6sfkf9DBk=</DigestValue>
      </Reference>
      <Reference URI="/xl/externalLinks/externalLink1.xml?ContentType=application/vnd.openxmlformats-officedocument.spreadsheetml.externalLink+xml">
        <DigestMethod Algorithm="http://www.w3.org/2000/09/xmldsig#sha1"/>
        <DigestValue>2RTyvGgP8G7rgxZaLq/Ems6d0t0=</DigestValue>
      </Reference>
      <Reference URI="/xl/externalLinks/externalLink2.xml?ContentType=application/vnd.openxmlformats-officedocument.spreadsheetml.externalLink+xml">
        <DigestMethod Algorithm="http://www.w3.org/2000/09/xmldsig#sha1"/>
        <DigestValue>9T89nMp4KfgFn/e5sXJTdD38px8=</DigestValue>
      </Reference>
      <Reference URI="/xl/externalLinks/externalLink3.xml?ContentType=application/vnd.openxmlformats-officedocument.spreadsheetml.externalLink+xml">
        <DigestMethod Algorithm="http://www.w3.org/2000/09/xmldsig#sha1"/>
        <DigestValue>Qx1SSbGrHhn2SBXWIExbVEqwsMk=</DigestValue>
      </Reference>
      <Reference URI="/xl/printerSettings/printerSettings1.bin?ContentType=application/vnd.openxmlformats-officedocument.spreadsheetml.printerSettings">
        <DigestMethod Algorithm="http://www.w3.org/2000/09/xmldsig#sha1"/>
        <DigestValue>ap/YwBxwQZGzfOIH4uPh/MCrDMA=</DigestValue>
      </Reference>
      <Reference URI="/xl/printerSettings/printerSettings2.bin?ContentType=application/vnd.openxmlformats-officedocument.spreadsheetml.printerSettings">
        <DigestMethod Algorithm="http://www.w3.org/2000/09/xmldsig#sha1"/>
        <DigestValue>ap/YwBxwQZGzfOIH4uPh/MCrDMA=</DigestValue>
      </Reference>
      <Reference URI="/xl/printerSettings/printerSettings3.bin?ContentType=application/vnd.openxmlformats-officedocument.spreadsheetml.printerSettings">
        <DigestMethod Algorithm="http://www.w3.org/2000/09/xmldsig#sha1"/>
        <DigestValue>VFvQASj+v/SQEdDQS8Dsm1YBy28=</DigestValue>
      </Reference>
      <Reference URI="/xl/printerSettings/printerSettings4.bin?ContentType=application/vnd.openxmlformats-officedocument.spreadsheetml.printerSettings">
        <DigestMethod Algorithm="http://www.w3.org/2000/09/xmldsig#sha1"/>
        <DigestValue>ap/YwBxwQZGzfOIH4uPh/MCrDMA=</DigestValue>
      </Reference>
      <Reference URI="/xl/printerSettings/printerSettings5.bin?ContentType=application/vnd.openxmlformats-officedocument.spreadsheetml.printerSettings">
        <DigestMethod Algorithm="http://www.w3.org/2000/09/xmldsig#sha1"/>
        <DigestValue>OXhNsxbrfG0k9qeS3k2hVwFMSUI=</DigestValue>
      </Reference>
      <Reference URI="/xl/sharedStrings.xml?ContentType=application/vnd.openxmlformats-officedocument.spreadsheetml.sharedStrings+xml">
        <DigestMethod Algorithm="http://www.w3.org/2000/09/xmldsig#sha1"/>
        <DigestValue>YMCSlE7wJO1PmRwL3TVkr8GnYiw=</DigestValue>
      </Reference>
      <Reference URI="/xl/styles.xml?ContentType=application/vnd.openxmlformats-officedocument.spreadsheetml.styles+xml">
        <DigestMethod Algorithm="http://www.w3.org/2000/09/xmldsig#sha1"/>
        <DigestValue>+9IBA6B3AG2Z9GE9dAIqBMeSWiE=</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vx1Qz1MmYAY3iHLgPS/qEQr2ynk=</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sheet1.xml?ContentType=application/vnd.openxmlformats-officedocument.spreadsheetml.worksheet+xml">
        <DigestMethod Algorithm="http://www.w3.org/2000/09/xmldsig#sha1"/>
        <DigestValue>Bt2pTgr8V6+xtEkCuuZYUeP4VNg=</DigestValue>
      </Reference>
      <Reference URI="/xl/worksheets/sheet2.xml?ContentType=application/vnd.openxmlformats-officedocument.spreadsheetml.worksheet+xml">
        <DigestMethod Algorithm="http://www.w3.org/2000/09/xmldsig#sha1"/>
        <DigestValue>G1k4Z3A4GhLIYJfjL8w4gdZ38ZQ=</DigestValue>
      </Reference>
      <Reference URI="/xl/worksheets/sheet3.xml?ContentType=application/vnd.openxmlformats-officedocument.spreadsheetml.worksheet+xml">
        <DigestMethod Algorithm="http://www.w3.org/2000/09/xmldsig#sha1"/>
        <DigestValue>9mOqMww3YwOuiIDvwfKar0V0sX8=</DigestValue>
      </Reference>
      <Reference URI="/xl/worksheets/sheet4.xml?ContentType=application/vnd.openxmlformats-officedocument.spreadsheetml.worksheet+xml">
        <DigestMethod Algorithm="http://www.w3.org/2000/09/xmldsig#sha1"/>
        <DigestValue>jwekq/cP2Uk2AQzQ7MoRexo6J0s=</DigestValue>
      </Reference>
      <Reference URI="/xl/worksheets/sheet5.xml?ContentType=application/vnd.openxmlformats-officedocument.spreadsheetml.worksheet+xml">
        <DigestMethod Algorithm="http://www.w3.org/2000/09/xmldsig#sha1"/>
        <DigestValue>vlN2QmsxkirxYdJq08cxmTFBE+o=</DigestValue>
      </Reference>
    </Manifest>
    <SignatureProperties>
      <SignatureProperty Id="idSignatureTime" Target="#idPackageSignature">
        <mdssi:SignatureTime>
          <mdssi:Format>YYYY-MM-DDThh:mm:ssTZD</mdssi:Format>
          <mdssi:Value>2016-06-06T11:26:34Z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Tong quat</vt:lpstr>
      <vt:lpstr>BCTaiSan_06027</vt:lpstr>
      <vt:lpstr>BCKetQuaHoatDong_06028</vt:lpstr>
      <vt:lpstr>BCDanhMucDauTu_06029</vt:lpstr>
      <vt:lpstr>Khac_06030</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NOT-APPL</cp:keywords>
  <dc:description>NOT-APPL</dc:description>
  <cp:lastModifiedBy>chiennt_bvfmc</cp:lastModifiedBy>
  <cp:lastPrinted>2016-04-15T08:17:04Z</cp:lastPrinted>
  <dcterms:created xsi:type="dcterms:W3CDTF">2013-07-15T10:49:12Z</dcterms:created>
  <dcterms:modified xsi:type="dcterms:W3CDTF">2016-06-08T02:36:40Z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